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theme/themeOverride7.xml" ContentType="application/vnd.openxmlformats-officedocument.themeOverride+xml"/>
  <Override PartName="/xl/charts/chart11.xml" ContentType="application/vnd.openxmlformats-officedocument.drawingml.chart+xml"/>
  <Override PartName="/xl/theme/themeOverride8.xml" ContentType="application/vnd.openxmlformats-officedocument.themeOverride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theme/themeOverride10.xml" ContentType="application/vnd.openxmlformats-officedocument.themeOverride+xml"/>
  <Override PartName="/xl/charts/chart17.xml" ContentType="application/vnd.openxmlformats-officedocument.drawingml.chart+xml"/>
  <Override PartName="/xl/theme/themeOverride11.xml" ContentType="application/vnd.openxmlformats-officedocument.themeOverride+xml"/>
  <Override PartName="/xl/charts/chart18.xml" ContentType="application/vnd.openxmlformats-officedocument.drawingml.chart+xml"/>
  <Override PartName="/xl/theme/themeOverride12.xml" ContentType="application/vnd.openxmlformats-officedocument.themeOverride+xml"/>
  <Override PartName="/xl/charts/chart19.xml" ContentType="application/vnd.openxmlformats-officedocument.drawingml.chart+xml"/>
  <Override PartName="/xl/theme/themeOverride13.xml" ContentType="application/vnd.openxmlformats-officedocument.themeOverrid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6.xml" ContentType="application/vnd.openxmlformats-officedocument.drawing+xml"/>
  <Override PartName="/xl/charts/chart22.xml" ContentType="application/vnd.openxmlformats-officedocument.drawingml.chart+xml"/>
  <Override PartName="/xl/theme/themeOverride14.xml" ContentType="application/vnd.openxmlformats-officedocument.themeOverride+xml"/>
  <Override PartName="/xl/charts/chart2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5.xml" ContentType="application/vnd.openxmlformats-officedocument.themeOverride+xml"/>
  <Override PartName="/xl/charts/chart2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ir Emissions\Annual Inventory Compilation\2025data\Outputs\EU Regulation\Proxy 2025\Website\"/>
    </mc:Choice>
  </mc:AlternateContent>
  <xr:revisionPtr revIDLastSave="0" documentId="13_ncr:1_{83998A29-C432-45A3-AF74-FEF6A91FFF8D}" xr6:coauthVersionLast="47" xr6:coauthVersionMax="47" xr10:uidLastSave="{00000000-0000-0000-0000-000000000000}"/>
  <bookViews>
    <workbookView xWindow="-120" yWindow="-120" windowWidth="29040" windowHeight="15720" xr2:uid="{26853904-7966-479D-9673-33442BDD13CE}"/>
  </bookViews>
  <sheets>
    <sheet name="NEW Summary 1990-2025 GHG" sheetId="2" r:id="rId1"/>
    <sheet name="NEW Summary 1990-2025 CO2" sheetId="3" r:id="rId2"/>
    <sheet name="NEW Summary 1990-2025 CH4" sheetId="4" r:id="rId3"/>
    <sheet name="NEW Summary 1990-2025 N2O" sheetId="5" r:id="rId4"/>
    <sheet name="NON-ETS &amp; ETS" sheetId="6" r:id="rId5"/>
    <sheet name="CAP Sectors" sheetId="7" r:id="rId6"/>
  </sheets>
  <definedNames>
    <definedName name="_xlnm._FilterDatabase" localSheetId="0" hidden="1">'NEW Summary 1990-2025 GHG'!#REF!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8" i="6" l="1"/>
  <c r="AM3" i="6"/>
  <c r="AM4" i="6"/>
  <c r="AM5" i="6"/>
  <c r="AM6" i="6"/>
  <c r="AM8" i="6"/>
  <c r="AM9" i="6"/>
  <c r="AM11" i="6"/>
  <c r="AM12" i="6"/>
  <c r="AM16" i="6"/>
  <c r="AM17" i="6"/>
  <c r="AM2" i="6"/>
  <c r="A64" i="7"/>
  <c r="A63" i="7"/>
  <c r="A62" i="7"/>
  <c r="A61" i="7"/>
  <c r="A60" i="7"/>
  <c r="A59" i="7"/>
  <c r="A58" i="7"/>
  <c r="P47" i="7"/>
  <c r="I47" i="7"/>
  <c r="H47" i="7"/>
  <c r="G47" i="7"/>
  <c r="F47" i="7"/>
  <c r="E47" i="7"/>
  <c r="R47" i="7" s="1"/>
  <c r="D47" i="7"/>
  <c r="C47" i="7"/>
  <c r="B47" i="7"/>
  <c r="I46" i="7"/>
  <c r="P46" i="7" s="1"/>
  <c r="H46" i="7"/>
  <c r="G46" i="7"/>
  <c r="F46" i="7"/>
  <c r="E46" i="7"/>
  <c r="R46" i="7" s="1"/>
  <c r="D46" i="7"/>
  <c r="C46" i="7"/>
  <c r="B46" i="7"/>
  <c r="I45" i="7"/>
  <c r="P45" i="7" s="1"/>
  <c r="H45" i="7"/>
  <c r="G45" i="7"/>
  <c r="F45" i="7"/>
  <c r="E45" i="7"/>
  <c r="R45" i="7" s="1"/>
  <c r="D45" i="7"/>
  <c r="C45" i="7"/>
  <c r="B45" i="7"/>
  <c r="P44" i="7"/>
  <c r="I44" i="7"/>
  <c r="H44" i="7"/>
  <c r="G44" i="7"/>
  <c r="F44" i="7"/>
  <c r="E44" i="7"/>
  <c r="R44" i="7" s="1"/>
  <c r="D44" i="7"/>
  <c r="C44" i="7"/>
  <c r="B44" i="7"/>
  <c r="P43" i="7"/>
  <c r="I43" i="7"/>
  <c r="H43" i="7"/>
  <c r="G43" i="7"/>
  <c r="F43" i="7"/>
  <c r="E43" i="7"/>
  <c r="E40" i="7" s="1"/>
  <c r="D43" i="7"/>
  <c r="D40" i="7" s="1"/>
  <c r="C43" i="7"/>
  <c r="C40" i="7" s="1"/>
  <c r="B43" i="7"/>
  <c r="I42" i="7"/>
  <c r="P42" i="7" s="1"/>
  <c r="H42" i="7"/>
  <c r="G42" i="7"/>
  <c r="F42" i="7"/>
  <c r="E42" i="7"/>
  <c r="R42" i="7" s="1"/>
  <c r="D42" i="7"/>
  <c r="C42" i="7"/>
  <c r="B42" i="7"/>
  <c r="I41" i="7"/>
  <c r="I40" i="7" s="1"/>
  <c r="H41" i="7"/>
  <c r="H40" i="7" s="1"/>
  <c r="AI9" i="7" s="1"/>
  <c r="G41" i="7"/>
  <c r="G40" i="7" s="1"/>
  <c r="AH9" i="7" s="1"/>
  <c r="F41" i="7"/>
  <c r="F40" i="7" s="1"/>
  <c r="AG9" i="7" s="1"/>
  <c r="E41" i="7"/>
  <c r="R41" i="7" s="1"/>
  <c r="D41" i="7"/>
  <c r="C41" i="7"/>
  <c r="B41" i="7"/>
  <c r="B40" i="7"/>
  <c r="AE9" i="7" s="1"/>
  <c r="P39" i="7"/>
  <c r="I39" i="7"/>
  <c r="H39" i="7"/>
  <c r="G39" i="7"/>
  <c r="F39" i="7"/>
  <c r="E39" i="7"/>
  <c r="R39" i="7" s="1"/>
  <c r="D39" i="7"/>
  <c r="C39" i="7"/>
  <c r="B39" i="7"/>
  <c r="I38" i="7"/>
  <c r="P38" i="7" s="1"/>
  <c r="H38" i="7"/>
  <c r="H35" i="7" s="1"/>
  <c r="G38" i="7"/>
  <c r="G35" i="7" s="1"/>
  <c r="F38" i="7"/>
  <c r="F35" i="7" s="1"/>
  <c r="E38" i="7"/>
  <c r="R38" i="7" s="1"/>
  <c r="D38" i="7"/>
  <c r="C38" i="7"/>
  <c r="B38" i="7"/>
  <c r="I37" i="7"/>
  <c r="P37" i="7" s="1"/>
  <c r="H37" i="7"/>
  <c r="G37" i="7"/>
  <c r="F37" i="7"/>
  <c r="E37" i="7"/>
  <c r="R37" i="7" s="1"/>
  <c r="D37" i="7"/>
  <c r="C37" i="7"/>
  <c r="B37" i="7"/>
  <c r="P36" i="7"/>
  <c r="I36" i="7"/>
  <c r="H36" i="7"/>
  <c r="G36" i="7"/>
  <c r="F36" i="7"/>
  <c r="E36" i="7"/>
  <c r="R36" i="7" s="1"/>
  <c r="D36" i="7"/>
  <c r="C36" i="7"/>
  <c r="B36" i="7"/>
  <c r="B35" i="7" s="1"/>
  <c r="E35" i="7"/>
  <c r="D35" i="7"/>
  <c r="C35" i="7"/>
  <c r="I34" i="7"/>
  <c r="P34" i="7" s="1"/>
  <c r="H34" i="7"/>
  <c r="H32" i="7" s="1"/>
  <c r="AI8" i="7" s="1"/>
  <c r="G34" i="7"/>
  <c r="G32" i="7" s="1"/>
  <c r="AH8" i="7" s="1"/>
  <c r="F34" i="7"/>
  <c r="F32" i="7" s="1"/>
  <c r="E34" i="7"/>
  <c r="R34" i="7" s="1"/>
  <c r="D34" i="7"/>
  <c r="C34" i="7"/>
  <c r="B34" i="7"/>
  <c r="I33" i="7"/>
  <c r="P33" i="7" s="1"/>
  <c r="H33" i="7"/>
  <c r="G33" i="7"/>
  <c r="F33" i="7"/>
  <c r="E33" i="7"/>
  <c r="R33" i="7" s="1"/>
  <c r="D33" i="7"/>
  <c r="C33" i="7"/>
  <c r="B33" i="7"/>
  <c r="E32" i="7"/>
  <c r="AF8" i="7" s="1"/>
  <c r="D32" i="7"/>
  <c r="C32" i="7"/>
  <c r="I31" i="7"/>
  <c r="P31" i="7" s="1"/>
  <c r="H31" i="7"/>
  <c r="G31" i="7"/>
  <c r="F31" i="7"/>
  <c r="E31" i="7"/>
  <c r="R31" i="7" s="1"/>
  <c r="D31" i="7"/>
  <c r="C31" i="7"/>
  <c r="B31" i="7"/>
  <c r="I30" i="7"/>
  <c r="P30" i="7" s="1"/>
  <c r="H30" i="7"/>
  <c r="G30" i="7"/>
  <c r="F30" i="7"/>
  <c r="E30" i="7"/>
  <c r="R30" i="7" s="1"/>
  <c r="D30" i="7"/>
  <c r="C30" i="7"/>
  <c r="B30" i="7"/>
  <c r="P29" i="7"/>
  <c r="I29" i="7"/>
  <c r="H29" i="7"/>
  <c r="G29" i="7"/>
  <c r="F29" i="7"/>
  <c r="E29" i="7"/>
  <c r="R29" i="7" s="1"/>
  <c r="D29" i="7"/>
  <c r="C29" i="7"/>
  <c r="B29" i="7"/>
  <c r="P28" i="7"/>
  <c r="I28" i="7"/>
  <c r="H28" i="7"/>
  <c r="G28" i="7"/>
  <c r="F28" i="7"/>
  <c r="E28" i="7"/>
  <c r="R28" i="7" s="1"/>
  <c r="D28" i="7"/>
  <c r="C28" i="7"/>
  <c r="B28" i="7"/>
  <c r="I27" i="7"/>
  <c r="P27" i="7" s="1"/>
  <c r="H27" i="7"/>
  <c r="G27" i="7"/>
  <c r="F27" i="7"/>
  <c r="E27" i="7"/>
  <c r="R27" i="7" s="1"/>
  <c r="D27" i="7"/>
  <c r="C27" i="7"/>
  <c r="B27" i="7"/>
  <c r="Y24" i="7"/>
  <c r="I26" i="7"/>
  <c r="P26" i="7" s="1"/>
  <c r="H26" i="7"/>
  <c r="G26" i="7"/>
  <c r="F26" i="7"/>
  <c r="E26" i="7"/>
  <c r="R26" i="7" s="1"/>
  <c r="D26" i="7"/>
  <c r="C26" i="7"/>
  <c r="B26" i="7"/>
  <c r="P25" i="7"/>
  <c r="I25" i="7"/>
  <c r="H25" i="7"/>
  <c r="G25" i="7"/>
  <c r="F25" i="7"/>
  <c r="E25" i="7"/>
  <c r="E24" i="7" s="1"/>
  <c r="D25" i="7"/>
  <c r="D24" i="7" s="1"/>
  <c r="C25" i="7"/>
  <c r="C24" i="7" s="1"/>
  <c r="B25" i="7"/>
  <c r="B24" i="7" s="1"/>
  <c r="AE7" i="7" s="1"/>
  <c r="H24" i="7"/>
  <c r="G24" i="7"/>
  <c r="AH7" i="7" s="1"/>
  <c r="F24" i="7"/>
  <c r="AG7" i="7" s="1"/>
  <c r="I23" i="7"/>
  <c r="P23" i="7" s="1"/>
  <c r="H23" i="7"/>
  <c r="G23" i="7"/>
  <c r="F23" i="7"/>
  <c r="E23" i="7"/>
  <c r="R23" i="7" s="1"/>
  <c r="D23" i="7"/>
  <c r="C23" i="7"/>
  <c r="B23" i="7"/>
  <c r="P22" i="7"/>
  <c r="I22" i="7"/>
  <c r="H22" i="7"/>
  <c r="G22" i="7"/>
  <c r="F22" i="7"/>
  <c r="E22" i="7"/>
  <c r="R22" i="7" s="1"/>
  <c r="D22" i="7"/>
  <c r="C22" i="7"/>
  <c r="B22" i="7"/>
  <c r="B20" i="7" s="1"/>
  <c r="P21" i="7"/>
  <c r="I21" i="7"/>
  <c r="H21" i="7"/>
  <c r="G21" i="7"/>
  <c r="F21" i="7"/>
  <c r="E21" i="7"/>
  <c r="E20" i="7" s="1"/>
  <c r="D21" i="7"/>
  <c r="D20" i="7" s="1"/>
  <c r="D18" i="7" s="1"/>
  <c r="C21" i="7"/>
  <c r="C20" i="7" s="1"/>
  <c r="C18" i="7" s="1"/>
  <c r="B21" i="7"/>
  <c r="H20" i="7"/>
  <c r="H18" i="7" s="1"/>
  <c r="AI6" i="7" s="1"/>
  <c r="G20" i="7"/>
  <c r="G18" i="7" s="1"/>
  <c r="AH6" i="7" s="1"/>
  <c r="F20" i="7"/>
  <c r="F18" i="7" s="1"/>
  <c r="AG6" i="7" s="1"/>
  <c r="I19" i="7"/>
  <c r="P19" i="7" s="1"/>
  <c r="H19" i="7"/>
  <c r="G19" i="7"/>
  <c r="F19" i="7"/>
  <c r="E19" i="7"/>
  <c r="R19" i="7" s="1"/>
  <c r="D19" i="7"/>
  <c r="C19" i="7"/>
  <c r="B19" i="7"/>
  <c r="I17" i="7"/>
  <c r="P17" i="7" s="1"/>
  <c r="H17" i="7"/>
  <c r="H15" i="7" s="1"/>
  <c r="AI5" i="7" s="1"/>
  <c r="G17" i="7"/>
  <c r="F17" i="7"/>
  <c r="F15" i="7" s="1"/>
  <c r="E17" i="7"/>
  <c r="R17" i="7" s="1"/>
  <c r="D17" i="7"/>
  <c r="C17" i="7"/>
  <c r="B17" i="7"/>
  <c r="I16" i="7"/>
  <c r="P16" i="7" s="1"/>
  <c r="H16" i="7"/>
  <c r="G16" i="7"/>
  <c r="F16" i="7"/>
  <c r="E16" i="7"/>
  <c r="R16" i="7" s="1"/>
  <c r="D16" i="7"/>
  <c r="C16" i="7"/>
  <c r="B16" i="7"/>
  <c r="B15" i="7" s="1"/>
  <c r="AE5" i="7" s="1"/>
  <c r="G15" i="7"/>
  <c r="E15" i="7"/>
  <c r="AF5" i="7" s="1"/>
  <c r="D15" i="7"/>
  <c r="C15" i="7"/>
  <c r="P14" i="7"/>
  <c r="Y14" i="7"/>
  <c r="I14" i="7"/>
  <c r="H14" i="7"/>
  <c r="G14" i="7"/>
  <c r="F14" i="7"/>
  <c r="E14" i="7"/>
  <c r="U14" i="7" s="1"/>
  <c r="D14" i="7"/>
  <c r="C14" i="7"/>
  <c r="B14" i="7"/>
  <c r="AE4" i="7" s="1"/>
  <c r="R13" i="7"/>
  <c r="I13" i="7"/>
  <c r="H13" i="7"/>
  <c r="G13" i="7"/>
  <c r="F13" i="7"/>
  <c r="E13" i="7"/>
  <c r="D13" i="7"/>
  <c r="C13" i="7"/>
  <c r="B13" i="7"/>
  <c r="P13" i="7" s="1"/>
  <c r="R12" i="7"/>
  <c r="I12" i="7"/>
  <c r="P12" i="7" s="1"/>
  <c r="H12" i="7"/>
  <c r="G12" i="7"/>
  <c r="F12" i="7"/>
  <c r="E12" i="7"/>
  <c r="D12" i="7"/>
  <c r="D8" i="7" s="1"/>
  <c r="C12" i="7"/>
  <c r="B12" i="7"/>
  <c r="AM11" i="7"/>
  <c r="I11" i="7"/>
  <c r="P11" i="7" s="1"/>
  <c r="H11" i="7"/>
  <c r="H8" i="7" s="1"/>
  <c r="AI3" i="7" s="1"/>
  <c r="G11" i="7"/>
  <c r="G8" i="7" s="1"/>
  <c r="AH3" i="7" s="1"/>
  <c r="F11" i="7"/>
  <c r="F8" i="7" s="1"/>
  <c r="AG3" i="7" s="1"/>
  <c r="E11" i="7"/>
  <c r="R11" i="7" s="1"/>
  <c r="D11" i="7"/>
  <c r="C11" i="7"/>
  <c r="B11" i="7"/>
  <c r="I10" i="7"/>
  <c r="P10" i="7" s="1"/>
  <c r="H10" i="7"/>
  <c r="G10" i="7"/>
  <c r="F10" i="7"/>
  <c r="E10" i="7"/>
  <c r="R10" i="7" s="1"/>
  <c r="D10" i="7"/>
  <c r="C10" i="7"/>
  <c r="B10" i="7"/>
  <c r="I9" i="7"/>
  <c r="I8" i="7" s="1"/>
  <c r="H9" i="7"/>
  <c r="G9" i="7"/>
  <c r="F9" i="7"/>
  <c r="E9" i="7"/>
  <c r="R9" i="7" s="1"/>
  <c r="D9" i="7"/>
  <c r="C9" i="7"/>
  <c r="B9" i="7"/>
  <c r="AM8" i="7"/>
  <c r="E8" i="7"/>
  <c r="C8" i="7"/>
  <c r="B8" i="7"/>
  <c r="AE3" i="7" s="1"/>
  <c r="AM7" i="7"/>
  <c r="AI7" i="7"/>
  <c r="R7" i="7"/>
  <c r="I7" i="7"/>
  <c r="P7" i="7" s="1"/>
  <c r="H7" i="7"/>
  <c r="G7" i="7"/>
  <c r="F7" i="7"/>
  <c r="E7" i="7"/>
  <c r="E4" i="7" s="1"/>
  <c r="D7" i="7"/>
  <c r="D4" i="7" s="1"/>
  <c r="C7" i="7"/>
  <c r="B7" i="7"/>
  <c r="AM6" i="7"/>
  <c r="I6" i="7"/>
  <c r="P6" i="7" s="1"/>
  <c r="H6" i="7"/>
  <c r="G6" i="7"/>
  <c r="G4" i="7" s="1"/>
  <c r="F6" i="7"/>
  <c r="F4" i="7" s="1"/>
  <c r="E6" i="7"/>
  <c r="R6" i="7" s="1"/>
  <c r="D6" i="7"/>
  <c r="C6" i="7"/>
  <c r="B6" i="7"/>
  <c r="AM5" i="7"/>
  <c r="AH5" i="7"/>
  <c r="I5" i="7"/>
  <c r="I4" i="7" s="1"/>
  <c r="H5" i="7"/>
  <c r="H4" i="7" s="1"/>
  <c r="G5" i="7"/>
  <c r="F5" i="7"/>
  <c r="E5" i="7"/>
  <c r="R5" i="7" s="1"/>
  <c r="D5" i="7"/>
  <c r="C5" i="7"/>
  <c r="B5" i="7"/>
  <c r="AM4" i="7"/>
  <c r="AJ4" i="7"/>
  <c r="AI4" i="7"/>
  <c r="AH4" i="7"/>
  <c r="AG4" i="7"/>
  <c r="AF4" i="7"/>
  <c r="C4" i="7"/>
  <c r="B4" i="7"/>
  <c r="AM3" i="7"/>
  <c r="AF3" i="7"/>
  <c r="AM2" i="7"/>
  <c r="AE2" i="7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C117" i="6"/>
  <c r="B117" i="6"/>
  <c r="AK115" i="6"/>
  <c r="AO115" i="6" s="1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B115" i="6"/>
  <c r="AM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AO114" i="6" s="1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B114" i="6"/>
  <c r="AK113" i="6"/>
  <c r="AO113" i="6" s="1"/>
  <c r="AJ113" i="6"/>
  <c r="AI113" i="6"/>
  <c r="AH113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C113" i="6"/>
  <c r="B113" i="6"/>
  <c r="AK112" i="6"/>
  <c r="AJ112" i="6"/>
  <c r="AI112" i="6"/>
  <c r="AH112" i="6"/>
  <c r="AH111" i="6" s="1"/>
  <c r="AG112" i="6"/>
  <c r="AF112" i="6"/>
  <c r="AF111" i="6" s="1"/>
  <c r="AE112" i="6"/>
  <c r="AE111" i="6" s="1"/>
  <c r="AD112" i="6"/>
  <c r="AC112" i="6"/>
  <c r="AC111" i="6" s="1"/>
  <c r="AB112" i="6"/>
  <c r="AA112" i="6"/>
  <c r="Z112" i="6"/>
  <c r="Y112" i="6"/>
  <c r="Y111" i="6" s="1"/>
  <c r="X112" i="6"/>
  <c r="X111" i="6" s="1"/>
  <c r="W112" i="6"/>
  <c r="W111" i="6" s="1"/>
  <c r="V112" i="6"/>
  <c r="V111" i="6" s="1"/>
  <c r="U112" i="6"/>
  <c r="U111" i="6" s="1"/>
  <c r="T112" i="6"/>
  <c r="T111" i="6" s="1"/>
  <c r="S112" i="6"/>
  <c r="S111" i="6" s="1"/>
  <c r="R112" i="6"/>
  <c r="Q112" i="6"/>
  <c r="Q111" i="6" s="1"/>
  <c r="P112" i="6"/>
  <c r="O112" i="6"/>
  <c r="N112" i="6"/>
  <c r="M112" i="6"/>
  <c r="M111" i="6" s="1"/>
  <c r="L112" i="6"/>
  <c r="L111" i="6" s="1"/>
  <c r="K112" i="6"/>
  <c r="K111" i="6" s="1"/>
  <c r="J112" i="6"/>
  <c r="J111" i="6" s="1"/>
  <c r="I112" i="6"/>
  <c r="I111" i="6" s="1"/>
  <c r="H112" i="6"/>
  <c r="G112" i="6"/>
  <c r="G111" i="6" s="1"/>
  <c r="F112" i="6"/>
  <c r="E112" i="6"/>
  <c r="E111" i="6" s="1"/>
  <c r="D112" i="6"/>
  <c r="C112" i="6"/>
  <c r="B112" i="6"/>
  <c r="B111" i="6" s="1"/>
  <c r="AK111" i="6"/>
  <c r="AO111" i="6" s="1"/>
  <c r="AJ111" i="6"/>
  <c r="AI111" i="6"/>
  <c r="AG111" i="6"/>
  <c r="AD111" i="6"/>
  <c r="AB111" i="6"/>
  <c r="AA111" i="6"/>
  <c r="Z111" i="6"/>
  <c r="R111" i="6"/>
  <c r="P111" i="6"/>
  <c r="O111" i="6"/>
  <c r="N111" i="6"/>
  <c r="H111" i="6"/>
  <c r="F111" i="6"/>
  <c r="D111" i="6"/>
  <c r="C111" i="6"/>
  <c r="AM110" i="6"/>
  <c r="AK110" i="6"/>
  <c r="AO110" i="6" s="1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B110" i="6"/>
  <c r="AK109" i="6"/>
  <c r="AO109" i="6" s="1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B109" i="6"/>
  <c r="AO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F103" i="6" s="1"/>
  <c r="E108" i="6"/>
  <c r="D108" i="6"/>
  <c r="C108" i="6"/>
  <c r="B108" i="6"/>
  <c r="AM107" i="6"/>
  <c r="AK107" i="6"/>
  <c r="AJ107" i="6"/>
  <c r="AI107" i="6"/>
  <c r="AH107" i="6"/>
  <c r="AG107" i="6"/>
  <c r="AF107" i="6"/>
  <c r="AE107" i="6"/>
  <c r="AD107" i="6"/>
  <c r="AC107" i="6"/>
  <c r="AB107" i="6"/>
  <c r="AA107" i="6"/>
  <c r="Z107" i="6"/>
  <c r="Z103" i="6" s="1"/>
  <c r="Y107" i="6"/>
  <c r="X107" i="6"/>
  <c r="W107" i="6"/>
  <c r="V107" i="6"/>
  <c r="U107" i="6"/>
  <c r="T107" i="6"/>
  <c r="S107" i="6"/>
  <c r="R107" i="6"/>
  <c r="Q107" i="6"/>
  <c r="AO107" i="6" s="1"/>
  <c r="P107" i="6"/>
  <c r="O107" i="6"/>
  <c r="N107" i="6"/>
  <c r="N103" i="6" s="1"/>
  <c r="M107" i="6"/>
  <c r="L107" i="6"/>
  <c r="K107" i="6"/>
  <c r="J107" i="6"/>
  <c r="I107" i="6"/>
  <c r="H107" i="6"/>
  <c r="G107" i="6"/>
  <c r="F107" i="6"/>
  <c r="E107" i="6"/>
  <c r="D107" i="6"/>
  <c r="C107" i="6"/>
  <c r="B107" i="6"/>
  <c r="AK106" i="6"/>
  <c r="AJ106" i="6"/>
  <c r="AI106" i="6"/>
  <c r="AH106" i="6"/>
  <c r="AG106" i="6"/>
  <c r="AF106" i="6"/>
  <c r="AE106" i="6"/>
  <c r="AD106" i="6"/>
  <c r="AC106" i="6"/>
  <c r="AC103" i="6" s="1"/>
  <c r="AB106" i="6"/>
  <c r="AA106" i="6"/>
  <c r="Z106" i="6"/>
  <c r="Y106" i="6"/>
  <c r="X106" i="6"/>
  <c r="W106" i="6"/>
  <c r="V106" i="6"/>
  <c r="U106" i="6"/>
  <c r="T106" i="6"/>
  <c r="S106" i="6"/>
  <c r="R106" i="6"/>
  <c r="Q106" i="6"/>
  <c r="Q103" i="6" s="1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B106" i="6"/>
  <c r="AK105" i="6"/>
  <c r="AO105" i="6" s="1"/>
  <c r="AJ105" i="6"/>
  <c r="AI105" i="6"/>
  <c r="AH105" i="6"/>
  <c r="AG105" i="6"/>
  <c r="AF105" i="6"/>
  <c r="AE105" i="6"/>
  <c r="AE103" i="6" s="1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B105" i="6"/>
  <c r="AK104" i="6"/>
  <c r="AJ104" i="6"/>
  <c r="AI104" i="6"/>
  <c r="AH104" i="6"/>
  <c r="AH103" i="6" s="1"/>
  <c r="AG104" i="6"/>
  <c r="AG103" i="6" s="1"/>
  <c r="AF104" i="6"/>
  <c r="AE104" i="6"/>
  <c r="AD104" i="6"/>
  <c r="AC104" i="6"/>
  <c r="AB104" i="6"/>
  <c r="AA104" i="6"/>
  <c r="Z104" i="6"/>
  <c r="Y104" i="6"/>
  <c r="Y103" i="6" s="1"/>
  <c r="X104" i="6"/>
  <c r="X103" i="6" s="1"/>
  <c r="W104" i="6"/>
  <c r="W103" i="6" s="1"/>
  <c r="V104" i="6"/>
  <c r="V103" i="6" s="1"/>
  <c r="U104" i="6"/>
  <c r="T104" i="6"/>
  <c r="T103" i="6" s="1"/>
  <c r="S104" i="6"/>
  <c r="R104" i="6"/>
  <c r="Q104" i="6"/>
  <c r="P104" i="6"/>
  <c r="O104" i="6"/>
  <c r="N104" i="6"/>
  <c r="M104" i="6"/>
  <c r="M103" i="6" s="1"/>
  <c r="L104" i="6"/>
  <c r="L103" i="6" s="1"/>
  <c r="K104" i="6"/>
  <c r="K103" i="6" s="1"/>
  <c r="J104" i="6"/>
  <c r="I104" i="6"/>
  <c r="I103" i="6" s="1"/>
  <c r="H104" i="6"/>
  <c r="G104" i="6"/>
  <c r="F104" i="6"/>
  <c r="E104" i="6"/>
  <c r="E103" i="6" s="1"/>
  <c r="D104" i="6"/>
  <c r="C104" i="6"/>
  <c r="B104" i="6"/>
  <c r="B103" i="6" s="1"/>
  <c r="AO103" i="6"/>
  <c r="AK103" i="6"/>
  <c r="AJ103" i="6"/>
  <c r="AM103" i="6" s="1"/>
  <c r="AI103" i="6"/>
  <c r="S103" i="6"/>
  <c r="J103" i="6"/>
  <c r="G103" i="6"/>
  <c r="AK102" i="6"/>
  <c r="AO102" i="6" s="1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B102" i="6"/>
  <c r="AO101" i="6"/>
  <c r="AM101" i="6"/>
  <c r="AK101" i="6"/>
  <c r="AJ101" i="6"/>
  <c r="AI101" i="6"/>
  <c r="AH101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J96" i="6" s="1"/>
  <c r="I101" i="6"/>
  <c r="H101" i="6"/>
  <c r="G101" i="6"/>
  <c r="F101" i="6"/>
  <c r="E101" i="6"/>
  <c r="D101" i="6"/>
  <c r="C101" i="6"/>
  <c r="B101" i="6"/>
  <c r="AM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Z96" i="6" s="1"/>
  <c r="Y100" i="6"/>
  <c r="Y96" i="6" s="1"/>
  <c r="X100" i="6"/>
  <c r="W100" i="6"/>
  <c r="W96" i="6" s="1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B100" i="6"/>
  <c r="M99" i="6"/>
  <c r="L99" i="6"/>
  <c r="K99" i="6"/>
  <c r="K96" i="6" s="1"/>
  <c r="J99" i="6"/>
  <c r="I99" i="6"/>
  <c r="H99" i="6"/>
  <c r="G99" i="6"/>
  <c r="F99" i="6"/>
  <c r="E99" i="6"/>
  <c r="D99" i="6"/>
  <c r="C99" i="6"/>
  <c r="B99" i="6"/>
  <c r="B96" i="6" s="1"/>
  <c r="O98" i="6"/>
  <c r="N98" i="6"/>
  <c r="M98" i="6"/>
  <c r="M96" i="6" s="1"/>
  <c r="L98" i="6"/>
  <c r="K98" i="6"/>
  <c r="J98" i="6"/>
  <c r="I98" i="6"/>
  <c r="H98" i="6"/>
  <c r="G98" i="6"/>
  <c r="G96" i="6" s="1"/>
  <c r="F98" i="6"/>
  <c r="E98" i="6"/>
  <c r="D98" i="6"/>
  <c r="C98" i="6"/>
  <c r="C96" i="6" s="1"/>
  <c r="B98" i="6"/>
  <c r="AK97" i="6"/>
  <c r="AM97" i="6" s="1"/>
  <c r="AJ97" i="6"/>
  <c r="AI97" i="6"/>
  <c r="AH97" i="6"/>
  <c r="AG97" i="6"/>
  <c r="AG96" i="6" s="1"/>
  <c r="AF97" i="6"/>
  <c r="AF96" i="6" s="1"/>
  <c r="AE97" i="6"/>
  <c r="AD97" i="6"/>
  <c r="AD96" i="6" s="1"/>
  <c r="AC97" i="6"/>
  <c r="AC96" i="6" s="1"/>
  <c r="AB97" i="6"/>
  <c r="AB96" i="6" s="1"/>
  <c r="AA97" i="6"/>
  <c r="AA96" i="6" s="1"/>
  <c r="Z97" i="6"/>
  <c r="Y97" i="6"/>
  <c r="X97" i="6"/>
  <c r="W97" i="6"/>
  <c r="V97" i="6"/>
  <c r="U97" i="6"/>
  <c r="U96" i="6" s="1"/>
  <c r="T97" i="6"/>
  <c r="S97" i="6"/>
  <c r="R97" i="6"/>
  <c r="Q97" i="6"/>
  <c r="AO97" i="6" s="1"/>
  <c r="P97" i="6"/>
  <c r="O97" i="6"/>
  <c r="N97" i="6"/>
  <c r="M97" i="6"/>
  <c r="L97" i="6"/>
  <c r="K97" i="6"/>
  <c r="J97" i="6"/>
  <c r="I97" i="6"/>
  <c r="I96" i="6" s="1"/>
  <c r="H97" i="6"/>
  <c r="H96" i="6" s="1"/>
  <c r="G97" i="6"/>
  <c r="F97" i="6"/>
  <c r="F96" i="6" s="1"/>
  <c r="E97" i="6"/>
  <c r="E96" i="6" s="1"/>
  <c r="D97" i="6"/>
  <c r="C97" i="6"/>
  <c r="B97" i="6"/>
  <c r="AI96" i="6"/>
  <c r="AH96" i="6"/>
  <c r="AE96" i="6"/>
  <c r="V96" i="6"/>
  <c r="T96" i="6"/>
  <c r="S96" i="6"/>
  <c r="R96" i="6"/>
  <c r="P96" i="6"/>
  <c r="O96" i="6"/>
  <c r="AK95" i="6"/>
  <c r="AO95" i="6" s="1"/>
  <c r="AJ95" i="6"/>
  <c r="AI95" i="6"/>
  <c r="AH95" i="6"/>
  <c r="AG95" i="6"/>
  <c r="AF95" i="6"/>
  <c r="AE95" i="6"/>
  <c r="AD95" i="6"/>
  <c r="AC95" i="6"/>
  <c r="AB95" i="6"/>
  <c r="AA95" i="6"/>
  <c r="Z95" i="6"/>
  <c r="Y95" i="6"/>
  <c r="X95" i="6"/>
  <c r="W95" i="6"/>
  <c r="V95" i="6"/>
  <c r="U95" i="6"/>
  <c r="T95" i="6"/>
  <c r="S95" i="6"/>
  <c r="R95" i="6"/>
  <c r="Q95" i="6"/>
  <c r="Q90" i="6" s="1"/>
  <c r="P95" i="6"/>
  <c r="O95" i="6"/>
  <c r="N95" i="6"/>
  <c r="M95" i="6"/>
  <c r="L95" i="6"/>
  <c r="K95" i="6"/>
  <c r="J95" i="6"/>
  <c r="I95" i="6"/>
  <c r="H95" i="6"/>
  <c r="G95" i="6"/>
  <c r="F95" i="6"/>
  <c r="E95" i="6"/>
  <c r="E90" i="6" s="1"/>
  <c r="D95" i="6"/>
  <c r="C95" i="6"/>
  <c r="B95" i="6"/>
  <c r="AK94" i="6"/>
  <c r="AJ94" i="6"/>
  <c r="AM94" i="6" s="1"/>
  <c r="AI94" i="6"/>
  <c r="AH94" i="6"/>
  <c r="AG94" i="6"/>
  <c r="AF94" i="6"/>
  <c r="AE94" i="6"/>
  <c r="AD94" i="6"/>
  <c r="AC94" i="6"/>
  <c r="AB94" i="6"/>
  <c r="AA94" i="6"/>
  <c r="Z94" i="6"/>
  <c r="Y94" i="6"/>
  <c r="X94" i="6"/>
  <c r="W94" i="6"/>
  <c r="V94" i="6"/>
  <c r="U94" i="6"/>
  <c r="T94" i="6"/>
  <c r="S94" i="6"/>
  <c r="R94" i="6"/>
  <c r="R90" i="6" s="1"/>
  <c r="Q94" i="6"/>
  <c r="AO94" i="6" s="1"/>
  <c r="P94" i="6"/>
  <c r="O94" i="6"/>
  <c r="N94" i="6"/>
  <c r="M94" i="6"/>
  <c r="L94" i="6"/>
  <c r="K94" i="6"/>
  <c r="J94" i="6"/>
  <c r="I94" i="6"/>
  <c r="H94" i="6"/>
  <c r="G94" i="6"/>
  <c r="F94" i="6"/>
  <c r="F90" i="6" s="1"/>
  <c r="E94" i="6"/>
  <c r="D94" i="6"/>
  <c r="C94" i="6"/>
  <c r="B94" i="6"/>
  <c r="AK93" i="6"/>
  <c r="AJ93" i="6"/>
  <c r="AI93" i="6"/>
  <c r="AH93" i="6"/>
  <c r="AG93" i="6"/>
  <c r="AF93" i="6"/>
  <c r="AE93" i="6"/>
  <c r="AD93" i="6"/>
  <c r="AC93" i="6"/>
  <c r="AB93" i="6"/>
  <c r="AA93" i="6"/>
  <c r="Z93" i="6"/>
  <c r="Y93" i="6"/>
  <c r="X93" i="6"/>
  <c r="W93" i="6"/>
  <c r="V93" i="6"/>
  <c r="U93" i="6"/>
  <c r="T93" i="6"/>
  <c r="T90" i="6" s="1"/>
  <c r="S93" i="6"/>
  <c r="S90" i="6" s="1"/>
  <c r="R93" i="6"/>
  <c r="Q93" i="6"/>
  <c r="P93" i="6"/>
  <c r="O93" i="6"/>
  <c r="N93" i="6"/>
  <c r="M93" i="6"/>
  <c r="L93" i="6"/>
  <c r="K93" i="6"/>
  <c r="J93" i="6"/>
  <c r="I93" i="6"/>
  <c r="H93" i="6"/>
  <c r="H90" i="6" s="1"/>
  <c r="G93" i="6"/>
  <c r="G90" i="6" s="1"/>
  <c r="F93" i="6"/>
  <c r="E93" i="6"/>
  <c r="D93" i="6"/>
  <c r="C93" i="6"/>
  <c r="B93" i="6"/>
  <c r="AK92" i="6"/>
  <c r="AO92" i="6" s="1"/>
  <c r="AJ92" i="6"/>
  <c r="AI92" i="6"/>
  <c r="AH92" i="6"/>
  <c r="AG92" i="6"/>
  <c r="AF92" i="6"/>
  <c r="AE92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D92" i="6"/>
  <c r="C92" i="6"/>
  <c r="B92" i="6"/>
  <c r="X91" i="6"/>
  <c r="X90" i="6" s="1"/>
  <c r="W91" i="6"/>
  <c r="V91" i="6"/>
  <c r="V90" i="6" s="1"/>
  <c r="U91" i="6"/>
  <c r="T91" i="6"/>
  <c r="S91" i="6"/>
  <c r="R91" i="6"/>
  <c r="Q91" i="6"/>
  <c r="P91" i="6"/>
  <c r="P90" i="6" s="1"/>
  <c r="O91" i="6"/>
  <c r="N91" i="6"/>
  <c r="M91" i="6"/>
  <c r="M90" i="6" s="1"/>
  <c r="L91" i="6"/>
  <c r="L90" i="6" s="1"/>
  <c r="K91" i="6"/>
  <c r="J91" i="6"/>
  <c r="I91" i="6"/>
  <c r="H91" i="6"/>
  <c r="G91" i="6"/>
  <c r="F91" i="6"/>
  <c r="E91" i="6"/>
  <c r="D91" i="6"/>
  <c r="D90" i="6" s="1"/>
  <c r="C91" i="6"/>
  <c r="B91" i="6"/>
  <c r="B90" i="6" s="1"/>
  <c r="O90" i="6"/>
  <c r="N90" i="6"/>
  <c r="K90" i="6"/>
  <c r="J90" i="6"/>
  <c r="C90" i="6"/>
  <c r="AM89" i="6"/>
  <c r="AK89" i="6"/>
  <c r="AO89" i="6" s="1"/>
  <c r="AJ89" i="6"/>
  <c r="AI89" i="6"/>
  <c r="AH89" i="6"/>
  <c r="AG89" i="6"/>
  <c r="AF89" i="6"/>
  <c r="AE89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F89" i="6"/>
  <c r="E89" i="6"/>
  <c r="D89" i="6"/>
  <c r="C89" i="6"/>
  <c r="B89" i="6"/>
  <c r="AO88" i="6"/>
  <c r="AM88" i="6"/>
  <c r="AK88" i="6"/>
  <c r="AJ88" i="6"/>
  <c r="AI88" i="6"/>
  <c r="AH88" i="6"/>
  <c r="AG88" i="6"/>
  <c r="AF88" i="6"/>
  <c r="AE88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C88" i="6"/>
  <c r="B88" i="6"/>
  <c r="AM87" i="6"/>
  <c r="AK87" i="6"/>
  <c r="AJ87" i="6"/>
  <c r="AI87" i="6"/>
  <c r="AH87" i="6"/>
  <c r="AG87" i="6"/>
  <c r="AF87" i="6"/>
  <c r="AE87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D87" i="6"/>
  <c r="C87" i="6"/>
  <c r="B87" i="6"/>
  <c r="AK86" i="6"/>
  <c r="AO86" i="6" s="1"/>
  <c r="AJ86" i="6"/>
  <c r="AI86" i="6"/>
  <c r="AH86" i="6"/>
  <c r="AG86" i="6"/>
  <c r="AF86" i="6"/>
  <c r="AE86" i="6"/>
  <c r="AD86" i="6"/>
  <c r="AC86" i="6"/>
  <c r="AB86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C86" i="6"/>
  <c r="B86" i="6"/>
  <c r="AK85" i="6"/>
  <c r="AO85" i="6" s="1"/>
  <c r="AJ85" i="6"/>
  <c r="AI85" i="6"/>
  <c r="AH85" i="6"/>
  <c r="AG85" i="6"/>
  <c r="AG81" i="6" s="1"/>
  <c r="AF85" i="6"/>
  <c r="AE85" i="6"/>
  <c r="AD85" i="6"/>
  <c r="AC85" i="6"/>
  <c r="AB85" i="6"/>
  <c r="AA85" i="6"/>
  <c r="Z85" i="6"/>
  <c r="Y85" i="6"/>
  <c r="X85" i="6"/>
  <c r="W85" i="6"/>
  <c r="V85" i="6"/>
  <c r="U85" i="6"/>
  <c r="U81" i="6" s="1"/>
  <c r="T85" i="6"/>
  <c r="S85" i="6"/>
  <c r="R85" i="6"/>
  <c r="Q85" i="6"/>
  <c r="P85" i="6"/>
  <c r="O85" i="6"/>
  <c r="N85" i="6"/>
  <c r="M85" i="6"/>
  <c r="L85" i="6"/>
  <c r="K85" i="6"/>
  <c r="J85" i="6"/>
  <c r="I85" i="6"/>
  <c r="I81" i="6" s="1"/>
  <c r="H85" i="6"/>
  <c r="G85" i="6"/>
  <c r="F85" i="6"/>
  <c r="E85" i="6"/>
  <c r="D85" i="6"/>
  <c r="C85" i="6"/>
  <c r="B85" i="6"/>
  <c r="AK84" i="6"/>
  <c r="AO84" i="6" s="1"/>
  <c r="AJ84" i="6"/>
  <c r="AI84" i="6"/>
  <c r="AI81" i="6" s="1"/>
  <c r="AH84" i="6"/>
  <c r="AG84" i="6"/>
  <c r="AF84" i="6"/>
  <c r="AE84" i="6"/>
  <c r="AD84" i="6"/>
  <c r="AC84" i="6"/>
  <c r="AB84" i="6"/>
  <c r="AA84" i="6"/>
  <c r="Z84" i="6"/>
  <c r="Y84" i="6"/>
  <c r="X84" i="6"/>
  <c r="W84" i="6"/>
  <c r="W81" i="6" s="1"/>
  <c r="V84" i="6"/>
  <c r="U84" i="6"/>
  <c r="T84" i="6"/>
  <c r="S84" i="6"/>
  <c r="R84" i="6"/>
  <c r="Q84" i="6"/>
  <c r="P84" i="6"/>
  <c r="O84" i="6"/>
  <c r="N84" i="6"/>
  <c r="M84" i="6"/>
  <c r="L84" i="6"/>
  <c r="K84" i="6"/>
  <c r="K81" i="6" s="1"/>
  <c r="J84" i="6"/>
  <c r="I84" i="6"/>
  <c r="H84" i="6"/>
  <c r="G84" i="6"/>
  <c r="F84" i="6"/>
  <c r="E84" i="6"/>
  <c r="D84" i="6"/>
  <c r="C84" i="6"/>
  <c r="B84" i="6"/>
  <c r="AK83" i="6"/>
  <c r="AK81" i="6" s="1"/>
  <c r="AJ83" i="6"/>
  <c r="AI83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M81" i="6" s="1"/>
  <c r="L83" i="6"/>
  <c r="L81" i="6" s="1"/>
  <c r="K83" i="6"/>
  <c r="J83" i="6"/>
  <c r="I83" i="6"/>
  <c r="H83" i="6"/>
  <c r="G83" i="6"/>
  <c r="F83" i="6"/>
  <c r="E83" i="6"/>
  <c r="D83" i="6"/>
  <c r="C83" i="6"/>
  <c r="B83" i="6"/>
  <c r="AO82" i="6"/>
  <c r="AM82" i="6"/>
  <c r="AK82" i="6"/>
  <c r="AJ82" i="6"/>
  <c r="AI82" i="6"/>
  <c r="AH82" i="6"/>
  <c r="AG82" i="6"/>
  <c r="AF82" i="6"/>
  <c r="AE82" i="6"/>
  <c r="AD82" i="6"/>
  <c r="AD81" i="6" s="1"/>
  <c r="AC82" i="6"/>
  <c r="AC81" i="6" s="1"/>
  <c r="AB82" i="6"/>
  <c r="AB81" i="6" s="1"/>
  <c r="AA82" i="6"/>
  <c r="AA81" i="6" s="1"/>
  <c r="Z82" i="6"/>
  <c r="Y82" i="6"/>
  <c r="X82" i="6"/>
  <c r="W82" i="6"/>
  <c r="V82" i="6"/>
  <c r="U82" i="6"/>
  <c r="T82" i="6"/>
  <c r="S82" i="6"/>
  <c r="R82" i="6"/>
  <c r="R81" i="6" s="1"/>
  <c r="Q82" i="6"/>
  <c r="Q81" i="6" s="1"/>
  <c r="P82" i="6"/>
  <c r="P81" i="6" s="1"/>
  <c r="O82" i="6"/>
  <c r="O81" i="6" s="1"/>
  <c r="N82" i="6"/>
  <c r="N81" i="6" s="1"/>
  <c r="M82" i="6"/>
  <c r="L82" i="6"/>
  <c r="K82" i="6"/>
  <c r="J82" i="6"/>
  <c r="I82" i="6"/>
  <c r="H82" i="6"/>
  <c r="G82" i="6"/>
  <c r="F82" i="6"/>
  <c r="F81" i="6" s="1"/>
  <c r="E82" i="6"/>
  <c r="D82" i="6"/>
  <c r="C82" i="6"/>
  <c r="C81" i="6" s="1"/>
  <c r="B82" i="6"/>
  <c r="AE81" i="6"/>
  <c r="Z81" i="6"/>
  <c r="Y81" i="6"/>
  <c r="X81" i="6"/>
  <c r="S81" i="6"/>
  <c r="G81" i="6"/>
  <c r="E81" i="6"/>
  <c r="D81" i="6"/>
  <c r="B81" i="6"/>
  <c r="V47" i="6"/>
  <c r="V117" i="6" s="1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X47" i="6" s="1"/>
  <c r="X117" i="6" s="1"/>
  <c r="W17" i="6"/>
  <c r="W47" i="6" s="1"/>
  <c r="W117" i="6" s="1"/>
  <c r="V17" i="6"/>
  <c r="U17" i="6"/>
  <c r="T17" i="6"/>
  <c r="S17" i="6"/>
  <c r="R17" i="6"/>
  <c r="R47" i="6" s="1"/>
  <c r="R117" i="6" s="1"/>
  <c r="Q17" i="6"/>
  <c r="Y11" i="6"/>
  <c r="X11" i="6"/>
  <c r="W11" i="6"/>
  <c r="V11" i="6"/>
  <c r="U11" i="6"/>
  <c r="T11" i="6"/>
  <c r="S11" i="6"/>
  <c r="R11" i="6"/>
  <c r="Q11" i="6"/>
  <c r="AK2" i="6"/>
  <c r="AJ2" i="6"/>
  <c r="AI2" i="6"/>
  <c r="AH2" i="6"/>
  <c r="AG2" i="6"/>
  <c r="AF2" i="6"/>
  <c r="AE2" i="6"/>
  <c r="AD2" i="6"/>
  <c r="AC2" i="6"/>
  <c r="AB2" i="6"/>
  <c r="AA2" i="6"/>
  <c r="Z2" i="6"/>
  <c r="Y2" i="6"/>
  <c r="X2" i="6"/>
  <c r="W2" i="6"/>
  <c r="V2" i="6"/>
  <c r="U2" i="6"/>
  <c r="T2" i="6"/>
  <c r="S2" i="6"/>
  <c r="R2" i="6"/>
  <c r="Q2" i="6"/>
  <c r="AP43" i="5"/>
  <c r="AO43" i="5"/>
  <c r="AM43" i="5"/>
  <c r="AP42" i="5"/>
  <c r="AO42" i="5"/>
  <c r="AM42" i="5"/>
  <c r="AP41" i="5"/>
  <c r="AO41" i="5"/>
  <c r="AM41" i="5"/>
  <c r="AP40" i="5"/>
  <c r="AO40" i="5"/>
  <c r="AM40" i="5"/>
  <c r="AP39" i="5"/>
  <c r="AO39" i="5"/>
  <c r="AM39" i="5"/>
  <c r="AP38" i="5"/>
  <c r="AO38" i="5"/>
  <c r="AM38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P36" i="5"/>
  <c r="AO36" i="5"/>
  <c r="AK36" i="5"/>
  <c r="AM36" i="5" s="1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K35" i="5"/>
  <c r="AJ35" i="5"/>
  <c r="AI35" i="5"/>
  <c r="AH35" i="5"/>
  <c r="AG35" i="5"/>
  <c r="AF35" i="5"/>
  <c r="AE35" i="5"/>
  <c r="AE32" i="5" s="1"/>
  <c r="AD35" i="5"/>
  <c r="AC35" i="5"/>
  <c r="AB35" i="5"/>
  <c r="AA35" i="5"/>
  <c r="Z35" i="5"/>
  <c r="Y35" i="5"/>
  <c r="X35" i="5"/>
  <c r="W35" i="5"/>
  <c r="V35" i="5"/>
  <c r="U35" i="5"/>
  <c r="T35" i="5"/>
  <c r="T32" i="5" s="1"/>
  <c r="S35" i="5"/>
  <c r="R35" i="5"/>
  <c r="Q35" i="5"/>
  <c r="P35" i="5"/>
  <c r="O35" i="5"/>
  <c r="N35" i="5"/>
  <c r="M35" i="5"/>
  <c r="L35" i="5"/>
  <c r="L32" i="5" s="1"/>
  <c r="K35" i="5"/>
  <c r="J35" i="5"/>
  <c r="I35" i="5"/>
  <c r="H35" i="5"/>
  <c r="H32" i="5" s="1"/>
  <c r="G35" i="5"/>
  <c r="G32" i="5" s="1"/>
  <c r="F35" i="5"/>
  <c r="E35" i="5"/>
  <c r="D35" i="5"/>
  <c r="C35" i="5"/>
  <c r="B35" i="5"/>
  <c r="AP34" i="5"/>
  <c r="AO34" i="5"/>
  <c r="AK34" i="5"/>
  <c r="AJ34" i="5"/>
  <c r="AI34" i="5"/>
  <c r="AH34" i="5"/>
  <c r="AG34" i="5"/>
  <c r="AF34" i="5"/>
  <c r="AF32" i="5" s="1"/>
  <c r="AE34" i="5"/>
  <c r="AD34" i="5"/>
  <c r="AC34" i="5"/>
  <c r="AB34" i="5"/>
  <c r="AB32" i="5" s="1"/>
  <c r="AA34" i="5"/>
  <c r="AA32" i="5" s="1"/>
  <c r="Z34" i="5"/>
  <c r="Y34" i="5"/>
  <c r="X34" i="5"/>
  <c r="W34" i="5"/>
  <c r="V34" i="5"/>
  <c r="U34" i="5"/>
  <c r="T34" i="5"/>
  <c r="S34" i="5"/>
  <c r="S32" i="5" s="1"/>
  <c r="R34" i="5"/>
  <c r="Q34" i="5"/>
  <c r="P34" i="5"/>
  <c r="P32" i="5" s="1"/>
  <c r="O34" i="5"/>
  <c r="O32" i="5" s="1"/>
  <c r="N34" i="5"/>
  <c r="N32" i="5" s="1"/>
  <c r="M34" i="5"/>
  <c r="L34" i="5"/>
  <c r="K34" i="5"/>
  <c r="J34" i="5"/>
  <c r="I34" i="5"/>
  <c r="H34" i="5"/>
  <c r="G34" i="5"/>
  <c r="F34" i="5"/>
  <c r="F32" i="5" s="1"/>
  <c r="E34" i="5"/>
  <c r="D34" i="5"/>
  <c r="D32" i="5" s="1"/>
  <c r="C34" i="5"/>
  <c r="C32" i="5" s="1"/>
  <c r="B34" i="5"/>
  <c r="B32" i="5" s="1"/>
  <c r="AD32" i="5"/>
  <c r="AC32" i="5"/>
  <c r="Z32" i="5"/>
  <c r="Y32" i="5"/>
  <c r="R32" i="5"/>
  <c r="Q32" i="5"/>
  <c r="E32" i="5"/>
  <c r="AP31" i="5"/>
  <c r="AO31" i="5"/>
  <c r="AM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K30" i="5"/>
  <c r="AJ30" i="5"/>
  <c r="AO30" i="5" s="1"/>
  <c r="AI30" i="5"/>
  <c r="AH30" i="5"/>
  <c r="AG30" i="5"/>
  <c r="AF30" i="5"/>
  <c r="AF24" i="5" s="1"/>
  <c r="AE30" i="5"/>
  <c r="AE24" i="5" s="1"/>
  <c r="AD30" i="5"/>
  <c r="AC30" i="5"/>
  <c r="AB30" i="5"/>
  <c r="AA30" i="5"/>
  <c r="Z30" i="5"/>
  <c r="Y30" i="5"/>
  <c r="X30" i="5"/>
  <c r="W30" i="5"/>
  <c r="V30" i="5"/>
  <c r="U30" i="5"/>
  <c r="T30" i="5"/>
  <c r="T24" i="5" s="1"/>
  <c r="S30" i="5"/>
  <c r="S24" i="5" s="1"/>
  <c r="R30" i="5"/>
  <c r="Q30" i="5"/>
  <c r="P30" i="5"/>
  <c r="O30" i="5"/>
  <c r="N30" i="5"/>
  <c r="M30" i="5"/>
  <c r="L30" i="5"/>
  <c r="K30" i="5"/>
  <c r="J30" i="5"/>
  <c r="I30" i="5"/>
  <c r="H30" i="5"/>
  <c r="H24" i="5" s="1"/>
  <c r="G30" i="5"/>
  <c r="F30" i="5"/>
  <c r="E30" i="5"/>
  <c r="D30" i="5"/>
  <c r="C30" i="5"/>
  <c r="B30" i="5"/>
  <c r="AM30" i="5" s="1"/>
  <c r="AK27" i="5"/>
  <c r="AJ27" i="5"/>
  <c r="AJ24" i="5" s="1"/>
  <c r="AI27" i="5"/>
  <c r="AI24" i="5" s="1"/>
  <c r="AH27" i="5"/>
  <c r="AG27" i="5"/>
  <c r="AF27" i="5"/>
  <c r="AE27" i="5"/>
  <c r="AD27" i="5"/>
  <c r="AC27" i="5"/>
  <c r="AB27" i="5"/>
  <c r="AA27" i="5"/>
  <c r="Z27" i="5"/>
  <c r="Y27" i="5"/>
  <c r="Y24" i="5" s="1"/>
  <c r="X27" i="5"/>
  <c r="X24" i="5" s="1"/>
  <c r="W27" i="5"/>
  <c r="W24" i="5" s="1"/>
  <c r="V27" i="5"/>
  <c r="V24" i="5" s="1"/>
  <c r="U27" i="5"/>
  <c r="T27" i="5"/>
  <c r="S27" i="5"/>
  <c r="R27" i="5"/>
  <c r="Q27" i="5"/>
  <c r="P27" i="5"/>
  <c r="O27" i="5"/>
  <c r="N27" i="5"/>
  <c r="M27" i="5"/>
  <c r="M24" i="5" s="1"/>
  <c r="L27" i="5"/>
  <c r="L24" i="5" s="1"/>
  <c r="K27" i="5"/>
  <c r="K24" i="5" s="1"/>
  <c r="J27" i="5"/>
  <c r="J24" i="5" s="1"/>
  <c r="I27" i="5"/>
  <c r="H27" i="5"/>
  <c r="G27" i="5"/>
  <c r="F27" i="5"/>
  <c r="E27" i="5"/>
  <c r="D27" i="5"/>
  <c r="C27" i="5"/>
  <c r="B27" i="5"/>
  <c r="AP26" i="5"/>
  <c r="AO26" i="5"/>
  <c r="AM26" i="5"/>
  <c r="AK26" i="5"/>
  <c r="AJ26" i="5"/>
  <c r="AI26" i="5"/>
  <c r="AH26" i="5"/>
  <c r="AG26" i="5"/>
  <c r="AF26" i="5"/>
  <c r="AE26" i="5"/>
  <c r="AD26" i="5"/>
  <c r="AD24" i="5" s="1"/>
  <c r="AC26" i="5"/>
  <c r="AB26" i="5"/>
  <c r="AB24" i="5" s="1"/>
  <c r="AA26" i="5"/>
  <c r="AA24" i="5" s="1"/>
  <c r="Z26" i="5"/>
  <c r="Z24" i="5" s="1"/>
  <c r="Y26" i="5"/>
  <c r="X26" i="5"/>
  <c r="W26" i="5"/>
  <c r="V26" i="5"/>
  <c r="U26" i="5"/>
  <c r="T26" i="5"/>
  <c r="S26" i="5"/>
  <c r="R26" i="5"/>
  <c r="Q26" i="5"/>
  <c r="P26" i="5"/>
  <c r="O26" i="5"/>
  <c r="O24" i="5" s="1"/>
  <c r="N26" i="5"/>
  <c r="N24" i="5" s="1"/>
  <c r="M26" i="5"/>
  <c r="L26" i="5"/>
  <c r="K26" i="5"/>
  <c r="J26" i="5"/>
  <c r="I26" i="5"/>
  <c r="H26" i="5"/>
  <c r="G26" i="5"/>
  <c r="F26" i="5"/>
  <c r="F24" i="5" s="1"/>
  <c r="E26" i="5"/>
  <c r="D26" i="5"/>
  <c r="D24" i="5" s="1"/>
  <c r="C26" i="5"/>
  <c r="C24" i="5" s="1"/>
  <c r="B26" i="5"/>
  <c r="B24" i="5" s="1"/>
  <c r="AH24" i="5"/>
  <c r="AG24" i="5"/>
  <c r="U24" i="5"/>
  <c r="R24" i="5"/>
  <c r="P24" i="5"/>
  <c r="I24" i="5"/>
  <c r="G24" i="5"/>
  <c r="AK22" i="5"/>
  <c r="AJ22" i="5"/>
  <c r="AJ17" i="5" s="1"/>
  <c r="AO17" i="5" s="1"/>
  <c r="AI22" i="5"/>
  <c r="AH22" i="5"/>
  <c r="AG22" i="5"/>
  <c r="AF22" i="5"/>
  <c r="AF17" i="5" s="1"/>
  <c r="AE22" i="5"/>
  <c r="AE17" i="5" s="1"/>
  <c r="AD22" i="5"/>
  <c r="AD17" i="5" s="1"/>
  <c r="AC22" i="5"/>
  <c r="AB22" i="5"/>
  <c r="AA22" i="5"/>
  <c r="Z22" i="5"/>
  <c r="Z17" i="5" s="1"/>
  <c r="Y22" i="5"/>
  <c r="X22" i="5"/>
  <c r="X17" i="5" s="1"/>
  <c r="W22" i="5"/>
  <c r="V22" i="5"/>
  <c r="U22" i="5"/>
  <c r="T22" i="5"/>
  <c r="T17" i="5" s="1"/>
  <c r="S22" i="5"/>
  <c r="S17" i="5" s="1"/>
  <c r="R22" i="5"/>
  <c r="R17" i="5" s="1"/>
  <c r="Q22" i="5"/>
  <c r="P22" i="5"/>
  <c r="O22" i="5"/>
  <c r="N22" i="5"/>
  <c r="M22" i="5"/>
  <c r="L22" i="5"/>
  <c r="K22" i="5"/>
  <c r="J22" i="5"/>
  <c r="J17" i="5" s="1"/>
  <c r="I22" i="5"/>
  <c r="H22" i="5"/>
  <c r="G22" i="5"/>
  <c r="F22" i="5"/>
  <c r="F17" i="5" s="1"/>
  <c r="E22" i="5"/>
  <c r="D22" i="5"/>
  <c r="C22" i="5"/>
  <c r="B22" i="5"/>
  <c r="N19" i="5"/>
  <c r="N17" i="5" s="1"/>
  <c r="M19" i="5"/>
  <c r="M17" i="5" s="1"/>
  <c r="L19" i="5"/>
  <c r="K19" i="5"/>
  <c r="J19" i="5"/>
  <c r="I19" i="5"/>
  <c r="I17" i="5" s="1"/>
  <c r="H19" i="5"/>
  <c r="G19" i="5"/>
  <c r="G17" i="5" s="1"/>
  <c r="F19" i="5"/>
  <c r="E19" i="5"/>
  <c r="D19" i="5"/>
  <c r="C19" i="5"/>
  <c r="B19" i="5"/>
  <c r="B17" i="5" s="1"/>
  <c r="AP17" i="5"/>
  <c r="AM17" i="5"/>
  <c r="AK17" i="5"/>
  <c r="AI17" i="5"/>
  <c r="AH17" i="5"/>
  <c r="AG17" i="5"/>
  <c r="AC17" i="5"/>
  <c r="AB17" i="5"/>
  <c r="AA17" i="5"/>
  <c r="Y17" i="5"/>
  <c r="W17" i="5"/>
  <c r="V17" i="5"/>
  <c r="U17" i="5"/>
  <c r="Q17" i="5"/>
  <c r="P17" i="5"/>
  <c r="O17" i="5"/>
  <c r="H17" i="5"/>
  <c r="E17" i="5"/>
  <c r="D17" i="5"/>
  <c r="C17" i="5"/>
  <c r="AP16" i="5"/>
  <c r="AO16" i="5"/>
  <c r="AM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P15" i="5"/>
  <c r="AO15" i="5"/>
  <c r="AM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M14" i="5"/>
  <c r="AK14" i="5"/>
  <c r="AJ14" i="5"/>
  <c r="AI14" i="5"/>
  <c r="AH14" i="5"/>
  <c r="AG14" i="5"/>
  <c r="AG11" i="5" s="1"/>
  <c r="AF14" i="5"/>
  <c r="AE14" i="5"/>
  <c r="AD14" i="5"/>
  <c r="AC14" i="5"/>
  <c r="AB14" i="5"/>
  <c r="AA14" i="5"/>
  <c r="Z14" i="5"/>
  <c r="Y14" i="5"/>
  <c r="X14" i="5"/>
  <c r="W14" i="5"/>
  <c r="V14" i="5"/>
  <c r="U14" i="5"/>
  <c r="U11" i="5" s="1"/>
  <c r="T14" i="5"/>
  <c r="S14" i="5"/>
  <c r="R14" i="5"/>
  <c r="Q14" i="5"/>
  <c r="P14" i="5"/>
  <c r="O14" i="5"/>
  <c r="N14" i="5"/>
  <c r="M14" i="5"/>
  <c r="L14" i="5"/>
  <c r="K14" i="5"/>
  <c r="J14" i="5"/>
  <c r="I14" i="5"/>
  <c r="I11" i="5" s="1"/>
  <c r="H14" i="5"/>
  <c r="G14" i="5"/>
  <c r="F14" i="5"/>
  <c r="E14" i="5"/>
  <c r="D14" i="5"/>
  <c r="C14" i="5"/>
  <c r="B14" i="5"/>
  <c r="AK13" i="5"/>
  <c r="AJ13" i="5"/>
  <c r="AJ11" i="5" s="1"/>
  <c r="AI13" i="5"/>
  <c r="AH13" i="5"/>
  <c r="AH11" i="5" s="1"/>
  <c r="AG13" i="5"/>
  <c r="AF13" i="5"/>
  <c r="AE13" i="5"/>
  <c r="AD13" i="5"/>
  <c r="AC13" i="5"/>
  <c r="AB13" i="5"/>
  <c r="AA13" i="5"/>
  <c r="Z13" i="5"/>
  <c r="Y13" i="5"/>
  <c r="Y11" i="5" s="1"/>
  <c r="X13" i="5"/>
  <c r="X11" i="5" s="1"/>
  <c r="W13" i="5"/>
  <c r="V13" i="5"/>
  <c r="V11" i="5" s="1"/>
  <c r="U13" i="5"/>
  <c r="T13" i="5"/>
  <c r="S13" i="5"/>
  <c r="R13" i="5"/>
  <c r="Q13" i="5"/>
  <c r="P13" i="5"/>
  <c r="O13" i="5"/>
  <c r="N13" i="5"/>
  <c r="M13" i="5"/>
  <c r="M11" i="5" s="1"/>
  <c r="L13" i="5"/>
  <c r="L11" i="5" s="1"/>
  <c r="K13" i="5"/>
  <c r="J13" i="5"/>
  <c r="J11" i="5" s="1"/>
  <c r="I13" i="5"/>
  <c r="H13" i="5"/>
  <c r="G13" i="5"/>
  <c r="F13" i="5"/>
  <c r="E13" i="5"/>
  <c r="D13" i="5"/>
  <c r="C13" i="5"/>
  <c r="B13" i="5"/>
  <c r="AP12" i="5"/>
  <c r="AO12" i="5"/>
  <c r="AK12" i="5"/>
  <c r="AJ12" i="5"/>
  <c r="AI12" i="5"/>
  <c r="AH12" i="5"/>
  <c r="AG12" i="5"/>
  <c r="AF12" i="5"/>
  <c r="AE12" i="5"/>
  <c r="AE11" i="5" s="1"/>
  <c r="AD12" i="5"/>
  <c r="AC12" i="5"/>
  <c r="AB12" i="5"/>
  <c r="AA12" i="5"/>
  <c r="Z12" i="5"/>
  <c r="Z11" i="5" s="1"/>
  <c r="Y12" i="5"/>
  <c r="X12" i="5"/>
  <c r="W12" i="5"/>
  <c r="V12" i="5"/>
  <c r="U12" i="5"/>
  <c r="T12" i="5"/>
  <c r="T11" i="5" s="1"/>
  <c r="S12" i="5"/>
  <c r="S11" i="5" s="1"/>
  <c r="R12" i="5"/>
  <c r="Q12" i="5"/>
  <c r="P12" i="5"/>
  <c r="O12" i="5"/>
  <c r="N12" i="5"/>
  <c r="N11" i="5" s="1"/>
  <c r="M12" i="5"/>
  <c r="L12" i="5"/>
  <c r="K12" i="5"/>
  <c r="J12" i="5"/>
  <c r="I12" i="5"/>
  <c r="H12" i="5"/>
  <c r="G12" i="5"/>
  <c r="G11" i="5" s="1"/>
  <c r="F12" i="5"/>
  <c r="E12" i="5"/>
  <c r="D12" i="5"/>
  <c r="C12" i="5"/>
  <c r="B12" i="5"/>
  <c r="B11" i="5" s="1"/>
  <c r="H11" i="5"/>
  <c r="F11" i="5"/>
  <c r="E11" i="5"/>
  <c r="AM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P9" i="5"/>
  <c r="AO9" i="5"/>
  <c r="AK9" i="5"/>
  <c r="AM9" i="5" s="1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P8" i="5"/>
  <c r="AK8" i="5"/>
  <c r="AO8" i="5" s="1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P5" i="5"/>
  <c r="AO5" i="5"/>
  <c r="AK5" i="5"/>
  <c r="AM5" i="5" s="1"/>
  <c r="AJ5" i="5"/>
  <c r="AI5" i="5"/>
  <c r="AH5" i="5"/>
  <c r="AG5" i="5"/>
  <c r="AF5" i="5"/>
  <c r="AE5" i="5"/>
  <c r="AD5" i="5"/>
  <c r="AC5" i="5"/>
  <c r="AB5" i="5"/>
  <c r="AB2" i="5" s="1"/>
  <c r="AA5" i="5"/>
  <c r="Z5" i="5"/>
  <c r="Y5" i="5"/>
  <c r="X5" i="5"/>
  <c r="W5" i="5"/>
  <c r="V5" i="5"/>
  <c r="U5" i="5"/>
  <c r="T5" i="5"/>
  <c r="S5" i="5"/>
  <c r="S2" i="5" s="1"/>
  <c r="R5" i="5"/>
  <c r="Q5" i="5"/>
  <c r="P5" i="5"/>
  <c r="O5" i="5"/>
  <c r="N5" i="5"/>
  <c r="M5" i="5"/>
  <c r="L5" i="5"/>
  <c r="K5" i="5"/>
  <c r="J5" i="5"/>
  <c r="I5" i="5"/>
  <c r="H5" i="5"/>
  <c r="G5" i="5"/>
  <c r="G2" i="5" s="1"/>
  <c r="F5" i="5"/>
  <c r="E5" i="5"/>
  <c r="D5" i="5"/>
  <c r="D2" i="5" s="1"/>
  <c r="C5" i="5"/>
  <c r="B5" i="5"/>
  <c r="AK4" i="5"/>
  <c r="AJ4" i="5"/>
  <c r="AI4" i="5"/>
  <c r="AI2" i="5" s="1"/>
  <c r="AH4" i="5"/>
  <c r="AG4" i="5"/>
  <c r="AF4" i="5"/>
  <c r="AF2" i="5" s="1"/>
  <c r="AE4" i="5"/>
  <c r="AD4" i="5"/>
  <c r="AC4" i="5"/>
  <c r="AB4" i="5"/>
  <c r="AA4" i="5"/>
  <c r="Z4" i="5"/>
  <c r="Y4" i="5"/>
  <c r="X4" i="5"/>
  <c r="W4" i="5"/>
  <c r="W2" i="5" s="1"/>
  <c r="V4" i="5"/>
  <c r="V2" i="5" s="1"/>
  <c r="U4" i="5"/>
  <c r="T4" i="5"/>
  <c r="T2" i="5" s="1"/>
  <c r="S4" i="5"/>
  <c r="R4" i="5"/>
  <c r="Q4" i="5"/>
  <c r="P4" i="5"/>
  <c r="O4" i="5"/>
  <c r="N4" i="5"/>
  <c r="M4" i="5"/>
  <c r="L4" i="5"/>
  <c r="K4" i="5"/>
  <c r="K2" i="5" s="1"/>
  <c r="J4" i="5"/>
  <c r="I4" i="5"/>
  <c r="H4" i="5"/>
  <c r="H2" i="5" s="1"/>
  <c r="G4" i="5"/>
  <c r="F4" i="5"/>
  <c r="E4" i="5"/>
  <c r="D4" i="5"/>
  <c r="C4" i="5"/>
  <c r="B4" i="5"/>
  <c r="AM3" i="5"/>
  <c r="AK3" i="5"/>
  <c r="AJ3" i="5"/>
  <c r="AI3" i="5"/>
  <c r="AH3" i="5"/>
  <c r="AG3" i="5"/>
  <c r="AF3" i="5"/>
  <c r="AE3" i="5"/>
  <c r="AD3" i="5"/>
  <c r="AD2" i="5" s="1"/>
  <c r="AC3" i="5"/>
  <c r="AB3" i="5"/>
  <c r="AA3" i="5"/>
  <c r="Z3" i="5"/>
  <c r="Y3" i="5"/>
  <c r="X3" i="5"/>
  <c r="W3" i="5"/>
  <c r="V3" i="5"/>
  <c r="U3" i="5"/>
  <c r="T3" i="5"/>
  <c r="S3" i="5"/>
  <c r="R3" i="5"/>
  <c r="R2" i="5" s="1"/>
  <c r="Q3" i="5"/>
  <c r="P3" i="5"/>
  <c r="O3" i="5"/>
  <c r="N3" i="5"/>
  <c r="M3" i="5"/>
  <c r="L3" i="5"/>
  <c r="K3" i="5"/>
  <c r="J3" i="5"/>
  <c r="I3" i="5"/>
  <c r="H3" i="5"/>
  <c r="G3" i="5"/>
  <c r="F3" i="5"/>
  <c r="F2" i="5" s="1"/>
  <c r="E3" i="5"/>
  <c r="E2" i="5" s="1"/>
  <c r="D3" i="5"/>
  <c r="C3" i="5"/>
  <c r="B3" i="5"/>
  <c r="AH2" i="5"/>
  <c r="AG2" i="5"/>
  <c r="AE2" i="5"/>
  <c r="AC2" i="5"/>
  <c r="U2" i="5"/>
  <c r="Q2" i="5"/>
  <c r="P2" i="5"/>
  <c r="J2" i="5"/>
  <c r="I2" i="5"/>
  <c r="AP42" i="4"/>
  <c r="AO42" i="4"/>
  <c r="AP41" i="4"/>
  <c r="AO41" i="4"/>
  <c r="AM41" i="4"/>
  <c r="AP40" i="4"/>
  <c r="AO40" i="4"/>
  <c r="AM40" i="4"/>
  <c r="AP39" i="4"/>
  <c r="AO39" i="4"/>
  <c r="AM39" i="4"/>
  <c r="AP38" i="4"/>
  <c r="AO38" i="4"/>
  <c r="AM38" i="4"/>
  <c r="AP37" i="4"/>
  <c r="AO37" i="4"/>
  <c r="AM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AP36" i="4"/>
  <c r="AO36" i="4"/>
  <c r="AK36" i="4"/>
  <c r="AM36" i="4" s="1"/>
  <c r="AJ36" i="4"/>
  <c r="AI36" i="4"/>
  <c r="AH36" i="4"/>
  <c r="AG36" i="4"/>
  <c r="AF36" i="4"/>
  <c r="AE36" i="4"/>
  <c r="AE32" i="4" s="1"/>
  <c r="AD36" i="4"/>
  <c r="AC36" i="4"/>
  <c r="AB36" i="4"/>
  <c r="AA36" i="4"/>
  <c r="Z36" i="4"/>
  <c r="Y36" i="4"/>
  <c r="X36" i="4"/>
  <c r="W36" i="4"/>
  <c r="V36" i="4"/>
  <c r="U36" i="4"/>
  <c r="T36" i="4"/>
  <c r="S36" i="4"/>
  <c r="S32" i="4" s="1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AK35" i="4"/>
  <c r="AJ35" i="4"/>
  <c r="AI35" i="4"/>
  <c r="AH35" i="4"/>
  <c r="AH32" i="4" s="1"/>
  <c r="AG35" i="4"/>
  <c r="AG32" i="4" s="1"/>
  <c r="AF35" i="4"/>
  <c r="AF32" i="4" s="1"/>
  <c r="AE35" i="4"/>
  <c r="AD35" i="4"/>
  <c r="AC35" i="4"/>
  <c r="AB35" i="4"/>
  <c r="AA35" i="4"/>
  <c r="Z35" i="4"/>
  <c r="Y35" i="4"/>
  <c r="X35" i="4"/>
  <c r="W35" i="4"/>
  <c r="V35" i="4"/>
  <c r="U35" i="4"/>
  <c r="U32" i="4" s="1"/>
  <c r="T35" i="4"/>
  <c r="T32" i="4" s="1"/>
  <c r="S35" i="4"/>
  <c r="R35" i="4"/>
  <c r="Q35" i="4"/>
  <c r="P35" i="4"/>
  <c r="O35" i="4"/>
  <c r="N35" i="4"/>
  <c r="M35" i="4"/>
  <c r="L35" i="4"/>
  <c r="K35" i="4"/>
  <c r="J35" i="4"/>
  <c r="J32" i="4" s="1"/>
  <c r="I35" i="4"/>
  <c r="I32" i="4" s="1"/>
  <c r="H35" i="4"/>
  <c r="G35" i="4"/>
  <c r="F35" i="4"/>
  <c r="E35" i="4"/>
  <c r="D35" i="4"/>
  <c r="C35" i="4"/>
  <c r="B35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Z32" i="4" s="1"/>
  <c r="Y34" i="4"/>
  <c r="Y32" i="4" s="1"/>
  <c r="X34" i="4"/>
  <c r="X32" i="4" s="1"/>
  <c r="W34" i="4"/>
  <c r="W32" i="4" s="1"/>
  <c r="V34" i="4"/>
  <c r="U34" i="4"/>
  <c r="T34" i="4"/>
  <c r="S34" i="4"/>
  <c r="R34" i="4"/>
  <c r="Q34" i="4"/>
  <c r="P34" i="4"/>
  <c r="O34" i="4"/>
  <c r="N34" i="4"/>
  <c r="N32" i="4" s="1"/>
  <c r="M34" i="4"/>
  <c r="L34" i="4"/>
  <c r="L32" i="4" s="1"/>
  <c r="K34" i="4"/>
  <c r="J34" i="4"/>
  <c r="I34" i="4"/>
  <c r="H34" i="4"/>
  <c r="G34" i="4"/>
  <c r="F34" i="4"/>
  <c r="E34" i="4"/>
  <c r="D34" i="4"/>
  <c r="C34" i="4"/>
  <c r="B34" i="4"/>
  <c r="B32" i="4" s="1"/>
  <c r="AP33" i="4"/>
  <c r="AO33" i="4"/>
  <c r="AM33" i="4"/>
  <c r="AK33" i="4"/>
  <c r="AJ33" i="4"/>
  <c r="AI33" i="4"/>
  <c r="AH33" i="4"/>
  <c r="AG33" i="4"/>
  <c r="AF33" i="4"/>
  <c r="AE33" i="4"/>
  <c r="AD33" i="4"/>
  <c r="AC33" i="4"/>
  <c r="AC32" i="4" s="1"/>
  <c r="AB33" i="4"/>
  <c r="AB32" i="4" s="1"/>
  <c r="AA33" i="4"/>
  <c r="AA32" i="4" s="1"/>
  <c r="Z33" i="4"/>
  <c r="Y33" i="4"/>
  <c r="X33" i="4"/>
  <c r="W33" i="4"/>
  <c r="V33" i="4"/>
  <c r="U33" i="4"/>
  <c r="T33" i="4"/>
  <c r="S33" i="4"/>
  <c r="R33" i="4"/>
  <c r="Q33" i="4"/>
  <c r="Q32" i="4" s="1"/>
  <c r="P33" i="4"/>
  <c r="P32" i="4" s="1"/>
  <c r="O33" i="4"/>
  <c r="O32" i="4" s="1"/>
  <c r="N33" i="4"/>
  <c r="M33" i="4"/>
  <c r="L33" i="4"/>
  <c r="K33" i="4"/>
  <c r="J33" i="4"/>
  <c r="I33" i="4"/>
  <c r="H33" i="4"/>
  <c r="G33" i="4"/>
  <c r="F33" i="4"/>
  <c r="E33" i="4"/>
  <c r="E32" i="4" s="1"/>
  <c r="D33" i="4"/>
  <c r="D32" i="4" s="1"/>
  <c r="C33" i="4"/>
  <c r="C32" i="4" s="1"/>
  <c r="B33" i="4"/>
  <c r="AK32" i="4"/>
  <c r="AJ32" i="4"/>
  <c r="AI32" i="4"/>
  <c r="M32" i="4"/>
  <c r="G32" i="4"/>
  <c r="AP31" i="4"/>
  <c r="AO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P24" i="4" s="1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M31" i="4" s="1"/>
  <c r="AP30" i="4"/>
  <c r="AO30" i="4"/>
  <c r="AM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O24" i="4" s="1"/>
  <c r="N30" i="4"/>
  <c r="M30" i="4"/>
  <c r="L30" i="4"/>
  <c r="K30" i="4"/>
  <c r="J30" i="4"/>
  <c r="I30" i="4"/>
  <c r="H30" i="4"/>
  <c r="G30" i="4"/>
  <c r="F30" i="4"/>
  <c r="F24" i="4" s="1"/>
  <c r="E30" i="4"/>
  <c r="D30" i="4"/>
  <c r="C30" i="4"/>
  <c r="B30" i="4"/>
  <c r="AK26" i="4"/>
  <c r="AJ26" i="4"/>
  <c r="AI26" i="4"/>
  <c r="AH26" i="4"/>
  <c r="AH24" i="4" s="1"/>
  <c r="AG26" i="4"/>
  <c r="AG24" i="4" s="1"/>
  <c r="AG48" i="4" s="1"/>
  <c r="AF26" i="4"/>
  <c r="AF24" i="4" s="1"/>
  <c r="AE26" i="4"/>
  <c r="AD26" i="4"/>
  <c r="AC26" i="4"/>
  <c r="AB26" i="4"/>
  <c r="AA26" i="4"/>
  <c r="Z26" i="4"/>
  <c r="Y26" i="4"/>
  <c r="X26" i="4"/>
  <c r="W26" i="4"/>
  <c r="V26" i="4"/>
  <c r="V24" i="4" s="1"/>
  <c r="U26" i="4"/>
  <c r="U24" i="4" s="1"/>
  <c r="T26" i="4"/>
  <c r="T24" i="4" s="1"/>
  <c r="S26" i="4"/>
  <c r="R26" i="4"/>
  <c r="Q26" i="4"/>
  <c r="P26" i="4"/>
  <c r="O26" i="4"/>
  <c r="N26" i="4"/>
  <c r="M26" i="4"/>
  <c r="L26" i="4"/>
  <c r="K26" i="4"/>
  <c r="J26" i="4"/>
  <c r="J24" i="4" s="1"/>
  <c r="I26" i="4"/>
  <c r="I24" i="4" s="1"/>
  <c r="H26" i="4"/>
  <c r="H24" i="4" s="1"/>
  <c r="G26" i="4"/>
  <c r="G24" i="4" s="1"/>
  <c r="F26" i="4"/>
  <c r="E26" i="4"/>
  <c r="D26" i="4"/>
  <c r="C26" i="4"/>
  <c r="B26" i="4"/>
  <c r="AK25" i="4"/>
  <c r="AJ25" i="4"/>
  <c r="AJ24" i="4" s="1"/>
  <c r="AI25" i="4"/>
  <c r="AI24" i="4" s="1"/>
  <c r="AH25" i="4"/>
  <c r="AG25" i="4"/>
  <c r="AF25" i="4"/>
  <c r="AE25" i="4"/>
  <c r="AD25" i="4"/>
  <c r="AC25" i="4"/>
  <c r="AB25" i="4"/>
  <c r="AA25" i="4"/>
  <c r="Z25" i="4"/>
  <c r="Y25" i="4"/>
  <c r="Y24" i="4" s="1"/>
  <c r="X25" i="4"/>
  <c r="X24" i="4" s="1"/>
  <c r="W25" i="4"/>
  <c r="W24" i="4" s="1"/>
  <c r="V25" i="4"/>
  <c r="U25" i="4"/>
  <c r="T25" i="4"/>
  <c r="S25" i="4"/>
  <c r="R25" i="4"/>
  <c r="Q25" i="4"/>
  <c r="P25" i="4"/>
  <c r="O25" i="4"/>
  <c r="N25" i="4"/>
  <c r="M25" i="4"/>
  <c r="M24" i="4" s="1"/>
  <c r="L25" i="4"/>
  <c r="L24" i="4" s="1"/>
  <c r="K25" i="4"/>
  <c r="K24" i="4" s="1"/>
  <c r="J25" i="4"/>
  <c r="I25" i="4"/>
  <c r="H25" i="4"/>
  <c r="G25" i="4"/>
  <c r="F25" i="4"/>
  <c r="E25" i="4"/>
  <c r="D25" i="4"/>
  <c r="C25" i="4"/>
  <c r="B25" i="4"/>
  <c r="AE24" i="4"/>
  <c r="AD24" i="4"/>
  <c r="S24" i="4"/>
  <c r="R24" i="4"/>
  <c r="AK16" i="4"/>
  <c r="AJ16" i="4"/>
  <c r="AI16" i="4"/>
  <c r="AH16" i="4"/>
  <c r="AG16" i="4"/>
  <c r="AG11" i="4" s="1"/>
  <c r="AF16" i="4"/>
  <c r="AE16" i="4"/>
  <c r="AD16" i="4"/>
  <c r="AC16" i="4"/>
  <c r="AB16" i="4"/>
  <c r="AA16" i="4"/>
  <c r="Z16" i="4"/>
  <c r="Y16" i="4"/>
  <c r="X16" i="4"/>
  <c r="W16" i="4"/>
  <c r="V16" i="4"/>
  <c r="U16" i="4"/>
  <c r="U11" i="4" s="1"/>
  <c r="T16" i="4"/>
  <c r="S16" i="4"/>
  <c r="R16" i="4"/>
  <c r="Q16" i="4"/>
  <c r="P16" i="4"/>
  <c r="O16" i="4"/>
  <c r="N16" i="4"/>
  <c r="M16" i="4"/>
  <c r="L16" i="4"/>
  <c r="K16" i="4"/>
  <c r="J16" i="4"/>
  <c r="I16" i="4"/>
  <c r="I11" i="4" s="1"/>
  <c r="H16" i="4"/>
  <c r="G16" i="4"/>
  <c r="F16" i="4"/>
  <c r="E16" i="4"/>
  <c r="D16" i="4"/>
  <c r="C16" i="4"/>
  <c r="B16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M15" i="4" s="1"/>
  <c r="AP14" i="4"/>
  <c r="AO14" i="4"/>
  <c r="AM14" i="4"/>
  <c r="AK14" i="4"/>
  <c r="AJ14" i="4"/>
  <c r="AI14" i="4"/>
  <c r="AH14" i="4"/>
  <c r="AG14" i="4"/>
  <c r="AF14" i="4"/>
  <c r="AE14" i="4"/>
  <c r="AD14" i="4"/>
  <c r="AC14" i="4"/>
  <c r="AB14" i="4"/>
  <c r="AB11" i="4" s="1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O11" i="4" s="1"/>
  <c r="O48" i="4" s="1"/>
  <c r="N14" i="4"/>
  <c r="M14" i="4"/>
  <c r="L14" i="4"/>
  <c r="K14" i="4"/>
  <c r="J14" i="4"/>
  <c r="I14" i="4"/>
  <c r="H14" i="4"/>
  <c r="G14" i="4"/>
  <c r="F14" i="4"/>
  <c r="F11" i="4" s="1"/>
  <c r="E14" i="4"/>
  <c r="D14" i="4"/>
  <c r="D11" i="4" s="1"/>
  <c r="C14" i="4"/>
  <c r="B14" i="4"/>
  <c r="AK13" i="4"/>
  <c r="AJ13" i="4"/>
  <c r="AI13" i="4"/>
  <c r="AH13" i="4"/>
  <c r="AG13" i="4"/>
  <c r="AF13" i="4"/>
  <c r="AF11" i="4" s="1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H11" i="4" s="1"/>
  <c r="G13" i="4"/>
  <c r="F13" i="4"/>
  <c r="E13" i="4"/>
  <c r="D13" i="4"/>
  <c r="C13" i="4"/>
  <c r="B13" i="4"/>
  <c r="AM12" i="4"/>
  <c r="AK12" i="4"/>
  <c r="AJ12" i="4"/>
  <c r="AI12" i="4"/>
  <c r="AH12" i="4"/>
  <c r="AG12" i="4"/>
  <c r="AF12" i="4"/>
  <c r="AE12" i="4"/>
  <c r="AD12" i="4"/>
  <c r="AC12" i="4"/>
  <c r="AB12" i="4"/>
  <c r="AA12" i="4"/>
  <c r="AA11" i="4" s="1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C11" i="4" s="1"/>
  <c r="B12" i="4"/>
  <c r="AD11" i="4"/>
  <c r="AC11" i="4"/>
  <c r="R11" i="4"/>
  <c r="Q11" i="4"/>
  <c r="P11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AP8" i="4"/>
  <c r="AO8" i="4"/>
  <c r="AM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P6" i="4"/>
  <c r="AK6" i="4"/>
  <c r="AO6" i="4" s="1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AP5" i="4"/>
  <c r="AO5" i="4"/>
  <c r="AM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K4" i="4"/>
  <c r="AJ4" i="4"/>
  <c r="AI4" i="4"/>
  <c r="AH4" i="4"/>
  <c r="AH2" i="4" s="1"/>
  <c r="AG4" i="4"/>
  <c r="AG2" i="4" s="1"/>
  <c r="AF4" i="4"/>
  <c r="AF2" i="4" s="1"/>
  <c r="AE4" i="4"/>
  <c r="AD4" i="4"/>
  <c r="AC4" i="4"/>
  <c r="AB4" i="4"/>
  <c r="AA4" i="4"/>
  <c r="Z4" i="4"/>
  <c r="Y4" i="4"/>
  <c r="X4" i="4"/>
  <c r="W4" i="4"/>
  <c r="V4" i="4"/>
  <c r="V2" i="4" s="1"/>
  <c r="U4" i="4"/>
  <c r="U2" i="4" s="1"/>
  <c r="T4" i="4"/>
  <c r="T2" i="4" s="1"/>
  <c r="S4" i="4"/>
  <c r="R4" i="4"/>
  <c r="Q4" i="4"/>
  <c r="P4" i="4"/>
  <c r="O4" i="4"/>
  <c r="N4" i="4"/>
  <c r="M4" i="4"/>
  <c r="L4" i="4"/>
  <c r="K4" i="4"/>
  <c r="J4" i="4"/>
  <c r="J2" i="4" s="1"/>
  <c r="I4" i="4"/>
  <c r="I2" i="4" s="1"/>
  <c r="H4" i="4"/>
  <c r="H2" i="4" s="1"/>
  <c r="G4" i="4"/>
  <c r="F4" i="4"/>
  <c r="E4" i="4"/>
  <c r="D4" i="4"/>
  <c r="C4" i="4"/>
  <c r="B4" i="4"/>
  <c r="AK3" i="4"/>
  <c r="AK2" i="4" s="1"/>
  <c r="AJ3" i="4"/>
  <c r="AJ2" i="4" s="1"/>
  <c r="AI3" i="4"/>
  <c r="AH3" i="4"/>
  <c r="AG3" i="4"/>
  <c r="AF3" i="4"/>
  <c r="AE3" i="4"/>
  <c r="AD3" i="4"/>
  <c r="AC3" i="4"/>
  <c r="AB3" i="4"/>
  <c r="AA3" i="4"/>
  <c r="Z3" i="4"/>
  <c r="Z2" i="4" s="1"/>
  <c r="Y3" i="4"/>
  <c r="Y2" i="4" s="1"/>
  <c r="X3" i="4"/>
  <c r="X2" i="4" s="1"/>
  <c r="W3" i="4"/>
  <c r="V3" i="4"/>
  <c r="U3" i="4"/>
  <c r="T3" i="4"/>
  <c r="S3" i="4"/>
  <c r="R3" i="4"/>
  <c r="Q3" i="4"/>
  <c r="P3" i="4"/>
  <c r="P2" i="4" s="1"/>
  <c r="O3" i="4"/>
  <c r="O2" i="4" s="1"/>
  <c r="N3" i="4"/>
  <c r="N2" i="4" s="1"/>
  <c r="M3" i="4"/>
  <c r="M2" i="4" s="1"/>
  <c r="L3" i="4"/>
  <c r="L2" i="4" s="1"/>
  <c r="K3" i="4"/>
  <c r="J3" i="4"/>
  <c r="I3" i="4"/>
  <c r="H3" i="4"/>
  <c r="G3" i="4"/>
  <c r="F3" i="4"/>
  <c r="E3" i="4"/>
  <c r="D3" i="4"/>
  <c r="C3" i="4"/>
  <c r="B3" i="4"/>
  <c r="B2" i="4" s="1"/>
  <c r="AO2" i="4"/>
  <c r="AE2" i="4"/>
  <c r="AD2" i="4"/>
  <c r="AC2" i="4"/>
  <c r="AB2" i="4"/>
  <c r="AA2" i="4"/>
  <c r="S2" i="4"/>
  <c r="R2" i="4"/>
  <c r="G2" i="4"/>
  <c r="F2" i="4"/>
  <c r="E2" i="4"/>
  <c r="D2" i="4"/>
  <c r="C2" i="4"/>
  <c r="AP44" i="3"/>
  <c r="AO44" i="3"/>
  <c r="AM44" i="3"/>
  <c r="AP43" i="3"/>
  <c r="AO43" i="3"/>
  <c r="AM43" i="3"/>
  <c r="AP42" i="3"/>
  <c r="AO42" i="3"/>
  <c r="AM42" i="3"/>
  <c r="AP41" i="3"/>
  <c r="AO41" i="3"/>
  <c r="AM41" i="3"/>
  <c r="AP40" i="3"/>
  <c r="AO40" i="3"/>
  <c r="AM40" i="3"/>
  <c r="AP39" i="3"/>
  <c r="AO39" i="3"/>
  <c r="AM39" i="3"/>
  <c r="AP38" i="3"/>
  <c r="AO38" i="3"/>
  <c r="AM38" i="3"/>
  <c r="AM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AK35" i="3"/>
  <c r="AJ35" i="3"/>
  <c r="AJ32" i="3" s="1"/>
  <c r="AI35" i="3"/>
  <c r="AI32" i="3" s="1"/>
  <c r="AH35" i="3"/>
  <c r="AH32" i="3" s="1"/>
  <c r="AG35" i="3"/>
  <c r="AF35" i="3"/>
  <c r="AE35" i="3"/>
  <c r="AD35" i="3"/>
  <c r="AC35" i="3"/>
  <c r="AB35" i="3"/>
  <c r="AA35" i="3"/>
  <c r="Z35" i="3"/>
  <c r="Z32" i="3" s="1"/>
  <c r="Y35" i="3"/>
  <c r="Y32" i="3" s="1"/>
  <c r="X35" i="3"/>
  <c r="X32" i="3" s="1"/>
  <c r="W35" i="3"/>
  <c r="W32" i="3" s="1"/>
  <c r="V35" i="3"/>
  <c r="V32" i="3" s="1"/>
  <c r="U35" i="3"/>
  <c r="T35" i="3"/>
  <c r="S35" i="3"/>
  <c r="R35" i="3"/>
  <c r="Q35" i="3"/>
  <c r="P35" i="3"/>
  <c r="P32" i="3" s="1"/>
  <c r="O35" i="3"/>
  <c r="O32" i="3" s="1"/>
  <c r="N35" i="3"/>
  <c r="N32" i="3" s="1"/>
  <c r="M35" i="3"/>
  <c r="M32" i="3" s="1"/>
  <c r="L35" i="3"/>
  <c r="L32" i="3" s="1"/>
  <c r="K35" i="3"/>
  <c r="K32" i="3" s="1"/>
  <c r="J35" i="3"/>
  <c r="J32" i="3" s="1"/>
  <c r="I35" i="3"/>
  <c r="H35" i="3"/>
  <c r="G35" i="3"/>
  <c r="F35" i="3"/>
  <c r="E35" i="3"/>
  <c r="D35" i="3"/>
  <c r="C35" i="3"/>
  <c r="B35" i="3"/>
  <c r="AG32" i="3"/>
  <c r="AF32" i="3"/>
  <c r="AE32" i="3"/>
  <c r="AD32" i="3"/>
  <c r="AC32" i="3"/>
  <c r="AB32" i="3"/>
  <c r="AA32" i="3"/>
  <c r="U32" i="3"/>
  <c r="T32" i="3"/>
  <c r="S32" i="3"/>
  <c r="R32" i="3"/>
  <c r="Q32" i="3"/>
  <c r="I32" i="3"/>
  <c r="H32" i="3"/>
  <c r="G32" i="3"/>
  <c r="F32" i="3"/>
  <c r="E32" i="3"/>
  <c r="D32" i="3"/>
  <c r="C32" i="3"/>
  <c r="B32" i="3"/>
  <c r="AM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P29" i="3"/>
  <c r="AO29" i="3"/>
  <c r="AK29" i="3"/>
  <c r="AJ29" i="3"/>
  <c r="AI29" i="3"/>
  <c r="AH29" i="3"/>
  <c r="AG29" i="3"/>
  <c r="AF29" i="3"/>
  <c r="AE29" i="3"/>
  <c r="AD29" i="3"/>
  <c r="AC29" i="3"/>
  <c r="AC24" i="3" s="1"/>
  <c r="AB29" i="3"/>
  <c r="AB24" i="3" s="1"/>
  <c r="AA29" i="3"/>
  <c r="AA24" i="3" s="1"/>
  <c r="Z29" i="3"/>
  <c r="Z24" i="3" s="1"/>
  <c r="Y29" i="3"/>
  <c r="X29" i="3"/>
  <c r="W29" i="3"/>
  <c r="V29" i="3"/>
  <c r="U29" i="3"/>
  <c r="T29" i="3"/>
  <c r="S29" i="3"/>
  <c r="R29" i="3"/>
  <c r="Q29" i="3"/>
  <c r="Q24" i="3" s="1"/>
  <c r="P29" i="3"/>
  <c r="O29" i="3"/>
  <c r="N29" i="3"/>
  <c r="N24" i="3" s="1"/>
  <c r="M29" i="3"/>
  <c r="L29" i="3"/>
  <c r="K29" i="3"/>
  <c r="J29" i="3"/>
  <c r="I29" i="3"/>
  <c r="H29" i="3"/>
  <c r="G29" i="3"/>
  <c r="F29" i="3"/>
  <c r="E29" i="3"/>
  <c r="E24" i="3" s="1"/>
  <c r="D29" i="3"/>
  <c r="C29" i="3"/>
  <c r="B29" i="3"/>
  <c r="AM29" i="3" s="1"/>
  <c r="AM28" i="3"/>
  <c r="AK28" i="3"/>
  <c r="AJ28" i="3"/>
  <c r="AJ24" i="3" s="1"/>
  <c r="AI28" i="3"/>
  <c r="AI24" i="3" s="1"/>
  <c r="AH28" i="3"/>
  <c r="AH24" i="3" s="1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L24" i="3" s="1"/>
  <c r="K28" i="3"/>
  <c r="K24" i="3" s="1"/>
  <c r="J28" i="3"/>
  <c r="J24" i="3" s="1"/>
  <c r="I28" i="3"/>
  <c r="H28" i="3"/>
  <c r="G28" i="3"/>
  <c r="F28" i="3"/>
  <c r="E28" i="3"/>
  <c r="D28" i="3"/>
  <c r="C28" i="3"/>
  <c r="B28" i="3"/>
  <c r="AK24" i="3"/>
  <c r="AP24" i="3" s="1"/>
  <c r="Y24" i="3"/>
  <c r="X24" i="3"/>
  <c r="W24" i="3"/>
  <c r="V24" i="3"/>
  <c r="P24" i="3"/>
  <c r="O24" i="3"/>
  <c r="M24" i="3"/>
  <c r="D24" i="3"/>
  <c r="C24" i="3"/>
  <c r="AP21" i="3"/>
  <c r="AO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M21" i="3" s="1"/>
  <c r="AK20" i="3"/>
  <c r="AJ20" i="3"/>
  <c r="AI20" i="3"/>
  <c r="AH20" i="3"/>
  <c r="AG20" i="3"/>
  <c r="AF20" i="3"/>
  <c r="AE20" i="3"/>
  <c r="AE17" i="3" s="1"/>
  <c r="AD20" i="3"/>
  <c r="AC20" i="3"/>
  <c r="AB20" i="3"/>
  <c r="AB17" i="3" s="1"/>
  <c r="AA20" i="3"/>
  <c r="AA17" i="3" s="1"/>
  <c r="Z20" i="3"/>
  <c r="Z17" i="3" s="1"/>
  <c r="Y20" i="3"/>
  <c r="X20" i="3"/>
  <c r="W20" i="3"/>
  <c r="V20" i="3"/>
  <c r="U20" i="3"/>
  <c r="T20" i="3"/>
  <c r="S20" i="3"/>
  <c r="S17" i="3" s="1"/>
  <c r="R20" i="3"/>
  <c r="Q20" i="3"/>
  <c r="P20" i="3"/>
  <c r="O20" i="3"/>
  <c r="N20" i="3"/>
  <c r="N17" i="3" s="1"/>
  <c r="M20" i="3"/>
  <c r="L20" i="3"/>
  <c r="K20" i="3"/>
  <c r="J20" i="3"/>
  <c r="I20" i="3"/>
  <c r="H20" i="3"/>
  <c r="G20" i="3"/>
  <c r="F20" i="3"/>
  <c r="E20" i="3"/>
  <c r="D20" i="3"/>
  <c r="C20" i="3"/>
  <c r="C17" i="3" s="1"/>
  <c r="B20" i="3"/>
  <c r="O19" i="3"/>
  <c r="N19" i="3"/>
  <c r="M19" i="3"/>
  <c r="L19" i="3"/>
  <c r="K19" i="3"/>
  <c r="J19" i="3"/>
  <c r="I19" i="3"/>
  <c r="H19" i="3"/>
  <c r="G19" i="3"/>
  <c r="F19" i="3"/>
  <c r="F17" i="3" s="1"/>
  <c r="E19" i="3"/>
  <c r="E17" i="3" s="1"/>
  <c r="D19" i="3"/>
  <c r="D17" i="3" s="1"/>
  <c r="C19" i="3"/>
  <c r="B19" i="3"/>
  <c r="AK18" i="3"/>
  <c r="AJ18" i="3"/>
  <c r="AI18" i="3"/>
  <c r="AI17" i="3" s="1"/>
  <c r="AH18" i="3"/>
  <c r="AH17" i="3" s="1"/>
  <c r="AG18" i="3"/>
  <c r="AG17" i="3" s="1"/>
  <c r="AF18" i="3"/>
  <c r="AF17" i="3" s="1"/>
  <c r="AE18" i="3"/>
  <c r="AD18" i="3"/>
  <c r="AC18" i="3"/>
  <c r="AB18" i="3"/>
  <c r="AA18" i="3"/>
  <c r="Z18" i="3"/>
  <c r="Y18" i="3"/>
  <c r="X18" i="3"/>
  <c r="W18" i="3"/>
  <c r="W17" i="3" s="1"/>
  <c r="V18" i="3"/>
  <c r="V17" i="3" s="1"/>
  <c r="U18" i="3"/>
  <c r="U17" i="3" s="1"/>
  <c r="T18" i="3"/>
  <c r="T17" i="3" s="1"/>
  <c r="S18" i="3"/>
  <c r="R18" i="3"/>
  <c r="Q18" i="3"/>
  <c r="P18" i="3"/>
  <c r="O18" i="3"/>
  <c r="N18" i="3"/>
  <c r="M18" i="3"/>
  <c r="L18" i="3"/>
  <c r="L17" i="3" s="1"/>
  <c r="K18" i="3"/>
  <c r="K17" i="3" s="1"/>
  <c r="J18" i="3"/>
  <c r="J17" i="3" s="1"/>
  <c r="I18" i="3"/>
  <c r="I17" i="3" s="1"/>
  <c r="H18" i="3"/>
  <c r="H17" i="3" s="1"/>
  <c r="G18" i="3"/>
  <c r="F18" i="3"/>
  <c r="E18" i="3"/>
  <c r="D18" i="3"/>
  <c r="C18" i="3"/>
  <c r="B18" i="3"/>
  <c r="AK17" i="3"/>
  <c r="AJ17" i="3"/>
  <c r="AD17" i="3"/>
  <c r="AC17" i="3"/>
  <c r="Y17" i="3"/>
  <c r="X17" i="3"/>
  <c r="R17" i="3"/>
  <c r="Q17" i="3"/>
  <c r="P17" i="3"/>
  <c r="O17" i="3"/>
  <c r="M17" i="3"/>
  <c r="B17" i="3"/>
  <c r="AK16" i="3"/>
  <c r="AJ16" i="3"/>
  <c r="AI16" i="3"/>
  <c r="AH16" i="3"/>
  <c r="AG16" i="3"/>
  <c r="AF16" i="3"/>
  <c r="AE16" i="3"/>
  <c r="AD16" i="3"/>
  <c r="AC16" i="3"/>
  <c r="AB16" i="3"/>
  <c r="AB11" i="3" s="1"/>
  <c r="AA16" i="3"/>
  <c r="Z16" i="3"/>
  <c r="Y16" i="3"/>
  <c r="X16" i="3"/>
  <c r="W16" i="3"/>
  <c r="V16" i="3"/>
  <c r="U16" i="3"/>
  <c r="T16" i="3"/>
  <c r="S16" i="3"/>
  <c r="R16" i="3"/>
  <c r="Q16" i="3"/>
  <c r="P16" i="3"/>
  <c r="P11" i="3" s="1"/>
  <c r="O16" i="3"/>
  <c r="N16" i="3"/>
  <c r="M16" i="3"/>
  <c r="L16" i="3"/>
  <c r="K16" i="3"/>
  <c r="J16" i="3"/>
  <c r="I16" i="3"/>
  <c r="H16" i="3"/>
  <c r="G16" i="3"/>
  <c r="F16" i="3"/>
  <c r="E16" i="3"/>
  <c r="D16" i="3"/>
  <c r="D11" i="3" s="1"/>
  <c r="C16" i="3"/>
  <c r="B16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P14" i="3"/>
  <c r="AK14" i="3"/>
  <c r="AO14" i="3" s="1"/>
  <c r="AJ14" i="3"/>
  <c r="AI14" i="3"/>
  <c r="AH14" i="3"/>
  <c r="AG14" i="3"/>
  <c r="AF14" i="3"/>
  <c r="AE14" i="3"/>
  <c r="AD14" i="3"/>
  <c r="AD11" i="3" s="1"/>
  <c r="AC14" i="3"/>
  <c r="AC11" i="3" s="1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K13" i="3"/>
  <c r="AP13" i="3" s="1"/>
  <c r="AJ13" i="3"/>
  <c r="AI13" i="3"/>
  <c r="AH13" i="3"/>
  <c r="AG13" i="3"/>
  <c r="AF13" i="3"/>
  <c r="AE13" i="3"/>
  <c r="AE11" i="3" s="1"/>
  <c r="AD13" i="3"/>
  <c r="AC13" i="3"/>
  <c r="AB13" i="3"/>
  <c r="AA13" i="3"/>
  <c r="Z13" i="3"/>
  <c r="Y13" i="3"/>
  <c r="X13" i="3"/>
  <c r="W13" i="3"/>
  <c r="V13" i="3"/>
  <c r="U13" i="3"/>
  <c r="T13" i="3"/>
  <c r="S13" i="3"/>
  <c r="S11" i="3" s="1"/>
  <c r="R13" i="3"/>
  <c r="Q13" i="3"/>
  <c r="P13" i="3"/>
  <c r="O13" i="3"/>
  <c r="N13" i="3"/>
  <c r="M13" i="3"/>
  <c r="L13" i="3"/>
  <c r="K13" i="3"/>
  <c r="J13" i="3"/>
  <c r="I13" i="3"/>
  <c r="H13" i="3"/>
  <c r="G13" i="3"/>
  <c r="G11" i="3" s="1"/>
  <c r="F13" i="3"/>
  <c r="E13" i="3"/>
  <c r="D13" i="3"/>
  <c r="C13" i="3"/>
  <c r="B13" i="3"/>
  <c r="AK12" i="3"/>
  <c r="AJ12" i="3"/>
  <c r="AI12" i="3"/>
  <c r="AH12" i="3"/>
  <c r="AG12" i="3"/>
  <c r="AF12" i="3"/>
  <c r="AE12" i="3"/>
  <c r="AE12" i="6" s="1"/>
  <c r="AD12" i="3"/>
  <c r="AD12" i="6" s="1"/>
  <c r="AC12" i="3"/>
  <c r="AC12" i="6" s="1"/>
  <c r="AB12" i="3"/>
  <c r="AB12" i="6" s="1"/>
  <c r="AB11" i="6" s="1"/>
  <c r="AA12" i="3"/>
  <c r="AA12" i="6" s="1"/>
  <c r="AA11" i="6" s="1"/>
  <c r="AA47" i="6" s="1"/>
  <c r="AA117" i="6" s="1"/>
  <c r="Z12" i="3"/>
  <c r="Z12" i="6" s="1"/>
  <c r="Y12" i="3"/>
  <c r="Y12" i="6" s="1"/>
  <c r="Y91" i="6" s="1"/>
  <c r="Y90" i="6" s="1"/>
  <c r="X12" i="3"/>
  <c r="X11" i="3" s="1"/>
  <c r="W12" i="3"/>
  <c r="W11" i="3" s="1"/>
  <c r="V12" i="3"/>
  <c r="U12" i="3"/>
  <c r="U11" i="3" s="1"/>
  <c r="T12" i="3"/>
  <c r="S12" i="3"/>
  <c r="R12" i="3"/>
  <c r="Q12" i="3"/>
  <c r="P12" i="3"/>
  <c r="O12" i="3"/>
  <c r="N12" i="3"/>
  <c r="N11" i="3" s="1"/>
  <c r="M12" i="3"/>
  <c r="M11" i="3" s="1"/>
  <c r="L12" i="3"/>
  <c r="L11" i="3" s="1"/>
  <c r="K12" i="3"/>
  <c r="K11" i="3" s="1"/>
  <c r="J12" i="3"/>
  <c r="I12" i="3"/>
  <c r="I11" i="3" s="1"/>
  <c r="H12" i="3"/>
  <c r="G12" i="3"/>
  <c r="F12" i="3"/>
  <c r="E12" i="3"/>
  <c r="D12" i="3"/>
  <c r="C12" i="3"/>
  <c r="B12" i="3"/>
  <c r="B11" i="3" s="1"/>
  <c r="AM11" i="3" s="1"/>
  <c r="AK11" i="3"/>
  <c r="AA11" i="3"/>
  <c r="R11" i="3"/>
  <c r="Q11" i="3"/>
  <c r="O11" i="3"/>
  <c r="F11" i="3"/>
  <c r="E11" i="3"/>
  <c r="C11" i="3"/>
  <c r="AK10" i="3"/>
  <c r="AJ10" i="3"/>
  <c r="AO10" i="3" s="1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K8" i="3"/>
  <c r="AP8" i="3" s="1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AP7" i="3"/>
  <c r="AO7" i="3"/>
  <c r="AK7" i="3"/>
  <c r="AM7" i="3" s="1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AK6" i="3"/>
  <c r="AJ6" i="3"/>
  <c r="AJ2" i="3" s="1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L2" i="3" s="1"/>
  <c r="K6" i="3"/>
  <c r="J6" i="3"/>
  <c r="I6" i="3"/>
  <c r="H6" i="3"/>
  <c r="G6" i="3"/>
  <c r="F6" i="3"/>
  <c r="E6" i="3"/>
  <c r="D6" i="3"/>
  <c r="C6" i="3"/>
  <c r="B6" i="3"/>
  <c r="AO5" i="3"/>
  <c r="AK5" i="3"/>
  <c r="AP5" i="3" s="1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O2" i="3" s="1"/>
  <c r="N5" i="3"/>
  <c r="N2" i="3" s="1"/>
  <c r="M5" i="3"/>
  <c r="M2" i="3" s="1"/>
  <c r="L5" i="3"/>
  <c r="K5" i="3"/>
  <c r="J5" i="3"/>
  <c r="I5" i="3"/>
  <c r="H5" i="3"/>
  <c r="G5" i="3"/>
  <c r="F5" i="3"/>
  <c r="E5" i="3"/>
  <c r="D5" i="3"/>
  <c r="C5" i="3"/>
  <c r="B5" i="3"/>
  <c r="AP4" i="3"/>
  <c r="AO4" i="3"/>
  <c r="AK4" i="3"/>
  <c r="AM4" i="3" s="1"/>
  <c r="AJ4" i="3"/>
  <c r="AI4" i="3"/>
  <c r="AH4" i="3"/>
  <c r="AG4" i="3"/>
  <c r="AF4" i="3"/>
  <c r="AE4" i="3"/>
  <c r="AE2" i="3" s="1"/>
  <c r="AD4" i="3"/>
  <c r="AD2" i="3" s="1"/>
  <c r="AC4" i="3"/>
  <c r="AB4" i="3"/>
  <c r="AA4" i="3"/>
  <c r="Z4" i="3"/>
  <c r="Y4" i="3"/>
  <c r="X4" i="3"/>
  <c r="W4" i="3"/>
  <c r="V4" i="3"/>
  <c r="U4" i="3"/>
  <c r="T4" i="3"/>
  <c r="S4" i="3"/>
  <c r="S2" i="3" s="1"/>
  <c r="R4" i="3"/>
  <c r="R2" i="3" s="1"/>
  <c r="Q4" i="3"/>
  <c r="Q2" i="3" s="1"/>
  <c r="P4" i="3"/>
  <c r="P2" i="3" s="1"/>
  <c r="O4" i="3"/>
  <c r="N4" i="3"/>
  <c r="M4" i="3"/>
  <c r="L4" i="3"/>
  <c r="K4" i="3"/>
  <c r="J4" i="3"/>
  <c r="I4" i="3"/>
  <c r="H4" i="3"/>
  <c r="G4" i="3"/>
  <c r="G2" i="3" s="1"/>
  <c r="F4" i="3"/>
  <c r="F2" i="3" s="1"/>
  <c r="E4" i="3"/>
  <c r="D4" i="3"/>
  <c r="C4" i="3"/>
  <c r="B4" i="3"/>
  <c r="AK3" i="3"/>
  <c r="AJ3" i="3"/>
  <c r="AI3" i="3"/>
  <c r="AH3" i="3"/>
  <c r="AG3" i="3"/>
  <c r="AF3" i="3"/>
  <c r="AF2" i="3" s="1"/>
  <c r="AE3" i="3"/>
  <c r="AD3" i="3"/>
  <c r="AC3" i="3"/>
  <c r="AB3" i="3"/>
  <c r="AA3" i="3"/>
  <c r="Z3" i="3"/>
  <c r="Y3" i="3"/>
  <c r="X3" i="3"/>
  <c r="X2" i="3" s="1"/>
  <c r="W3" i="3"/>
  <c r="V3" i="3"/>
  <c r="U3" i="3"/>
  <c r="T3" i="3"/>
  <c r="T2" i="3" s="1"/>
  <c r="S3" i="3"/>
  <c r="R3" i="3"/>
  <c r="Q3" i="3"/>
  <c r="P3" i="3"/>
  <c r="O3" i="3"/>
  <c r="N3" i="3"/>
  <c r="M3" i="3"/>
  <c r="L3" i="3"/>
  <c r="K3" i="3"/>
  <c r="J3" i="3"/>
  <c r="I3" i="3"/>
  <c r="H3" i="3"/>
  <c r="H2" i="3" s="1"/>
  <c r="G3" i="3"/>
  <c r="F3" i="3"/>
  <c r="E3" i="3"/>
  <c r="D3" i="3"/>
  <c r="C3" i="3"/>
  <c r="B3" i="3"/>
  <c r="AC2" i="3"/>
  <c r="AB2" i="3"/>
  <c r="AB48" i="3" s="1"/>
  <c r="AA2" i="3"/>
  <c r="Z2" i="3"/>
  <c r="Y2" i="3"/>
  <c r="E2" i="3"/>
  <c r="D2" i="3"/>
  <c r="D47" i="3" s="1"/>
  <c r="C2" i="3"/>
  <c r="B2" i="3"/>
  <c r="AJ44" i="2"/>
  <c r="AQ44" i="2" s="1"/>
  <c r="AS44" i="2" s="1"/>
  <c r="AI44" i="2"/>
  <c r="AH44" i="2"/>
  <c r="AG44" i="2"/>
  <c r="AF44" i="2"/>
  <c r="AE44" i="2"/>
  <c r="AD44" i="2"/>
  <c r="AW44" i="2" s="1"/>
  <c r="AC44" i="2"/>
  <c r="AB44" i="2"/>
  <c r="AA44" i="2"/>
  <c r="Z44" i="2"/>
  <c r="Y44" i="2"/>
  <c r="X44" i="2"/>
  <c r="X37" i="2" s="1"/>
  <c r="W44" i="2"/>
  <c r="V44" i="2"/>
  <c r="U44" i="2"/>
  <c r="T44" i="2"/>
  <c r="S44" i="2"/>
  <c r="R44" i="2"/>
  <c r="Q44" i="2"/>
  <c r="AU44" i="2" s="1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N44" i="2" s="1"/>
  <c r="AQ43" i="2"/>
  <c r="AS43" i="2" s="1"/>
  <c r="AP43" i="2"/>
  <c r="AJ43" i="2"/>
  <c r="AI43" i="2"/>
  <c r="AH43" i="2"/>
  <c r="AG43" i="2"/>
  <c r="AF43" i="2"/>
  <c r="AE43" i="2"/>
  <c r="AD43" i="2"/>
  <c r="AW43" i="2" s="1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AU43" i="2" s="1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AN43" i="2" s="1"/>
  <c r="AU42" i="2"/>
  <c r="AP42" i="2"/>
  <c r="AJ42" i="2"/>
  <c r="AQ42" i="2" s="1"/>
  <c r="AS42" i="2" s="1"/>
  <c r="AI42" i="2"/>
  <c r="AH42" i="2"/>
  <c r="AG42" i="2"/>
  <c r="AF42" i="2"/>
  <c r="AE42" i="2"/>
  <c r="AD42" i="2"/>
  <c r="AW42" i="2" s="1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N42" i="2" s="1"/>
  <c r="AN41" i="2"/>
  <c r="AJ41" i="2"/>
  <c r="AP41" i="2" s="1"/>
  <c r="AI41" i="2"/>
  <c r="AH41" i="2"/>
  <c r="AG41" i="2"/>
  <c r="AF41" i="2"/>
  <c r="AE41" i="2"/>
  <c r="AD41" i="2"/>
  <c r="AW41" i="2" s="1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AU41" i="2" s="1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U40" i="2"/>
  <c r="AJ40" i="2"/>
  <c r="AQ40" i="2" s="1"/>
  <c r="AS40" i="2" s="1"/>
  <c r="AI40" i="2"/>
  <c r="AH40" i="2"/>
  <c r="AG40" i="2"/>
  <c r="AF40" i="2"/>
  <c r="AE40" i="2"/>
  <c r="AD40" i="2"/>
  <c r="AW40" i="2" s="1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N40" i="2" s="1"/>
  <c r="AW39" i="2"/>
  <c r="AJ39" i="2"/>
  <c r="AQ39" i="2" s="1"/>
  <c r="AS39" i="2" s="1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AU39" i="2" s="1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U38" i="2"/>
  <c r="AN38" i="2"/>
  <c r="AJ38" i="2"/>
  <c r="AP38" i="2" s="1"/>
  <c r="AI38" i="2"/>
  <c r="AH38" i="2"/>
  <c r="AG38" i="2"/>
  <c r="AF38" i="2"/>
  <c r="AE38" i="2"/>
  <c r="AD38" i="2"/>
  <c r="AW38" i="2" s="1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K37" i="2"/>
  <c r="W37" i="2"/>
  <c r="E37" i="2"/>
  <c r="AK36" i="2"/>
  <c r="AU36" i="2" s="1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K35" i="2"/>
  <c r="AJ35" i="2"/>
  <c r="AI35" i="2"/>
  <c r="AH35" i="2"/>
  <c r="AG35" i="2"/>
  <c r="AF35" i="2"/>
  <c r="AE35" i="2"/>
  <c r="AD35" i="2"/>
  <c r="AC35" i="2"/>
  <c r="AB35" i="2"/>
  <c r="AB32" i="2" s="1"/>
  <c r="AA35" i="2"/>
  <c r="Z35" i="2"/>
  <c r="Y35" i="2"/>
  <c r="Y32" i="2" s="1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C32" i="2" s="1"/>
  <c r="B35" i="2"/>
  <c r="AW34" i="2"/>
  <c r="AK34" i="2"/>
  <c r="AU34" i="2" s="1"/>
  <c r="AJ34" i="2"/>
  <c r="AQ34" i="2" s="1"/>
  <c r="AS34" i="2" s="1"/>
  <c r="AI34" i="2"/>
  <c r="AH34" i="2"/>
  <c r="AG34" i="2"/>
  <c r="AG32" i="2" s="1"/>
  <c r="AF34" i="2"/>
  <c r="AF32" i="2" s="1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S32" i="2" s="1"/>
  <c r="R34" i="2"/>
  <c r="Q34" i="2"/>
  <c r="P34" i="2"/>
  <c r="O34" i="2"/>
  <c r="N34" i="2"/>
  <c r="M34" i="2"/>
  <c r="L34" i="2"/>
  <c r="K34" i="2"/>
  <c r="J34" i="2"/>
  <c r="I34" i="2"/>
  <c r="I32" i="2" s="1"/>
  <c r="H34" i="2"/>
  <c r="H32" i="2" s="1"/>
  <c r="G34" i="2"/>
  <c r="G32" i="2" s="1"/>
  <c r="F34" i="2"/>
  <c r="E34" i="2"/>
  <c r="D34" i="2"/>
  <c r="C34" i="2"/>
  <c r="B34" i="2"/>
  <c r="AK33" i="2"/>
  <c r="AJ33" i="2"/>
  <c r="AI33" i="2"/>
  <c r="AI32" i="2" s="1"/>
  <c r="AH33" i="2"/>
  <c r="AH32" i="2" s="1"/>
  <c r="AG33" i="2"/>
  <c r="AF33" i="2"/>
  <c r="AE33" i="2"/>
  <c r="AD33" i="2"/>
  <c r="AC33" i="2"/>
  <c r="AB33" i="2"/>
  <c r="AA33" i="2"/>
  <c r="Z33" i="2"/>
  <c r="Y33" i="2"/>
  <c r="X33" i="2"/>
  <c r="W33" i="2"/>
  <c r="V33" i="2"/>
  <c r="V32" i="2" s="1"/>
  <c r="U33" i="2"/>
  <c r="T33" i="2"/>
  <c r="T32" i="2" s="1"/>
  <c r="S33" i="2"/>
  <c r="R33" i="2"/>
  <c r="Q33" i="2"/>
  <c r="P33" i="2"/>
  <c r="O33" i="2"/>
  <c r="N33" i="2"/>
  <c r="M33" i="2"/>
  <c r="L33" i="2"/>
  <c r="K33" i="2"/>
  <c r="J33" i="2"/>
  <c r="J32" i="2" s="1"/>
  <c r="I33" i="2"/>
  <c r="H33" i="2"/>
  <c r="G33" i="2"/>
  <c r="F33" i="2"/>
  <c r="E33" i="2"/>
  <c r="D33" i="2"/>
  <c r="C33" i="2"/>
  <c r="B33" i="2"/>
  <c r="AK31" i="2"/>
  <c r="AU31" i="2" s="1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K30" i="2"/>
  <c r="AW30" i="2" s="1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L24" i="2" s="1"/>
  <c r="K30" i="2"/>
  <c r="J30" i="2"/>
  <c r="I30" i="2"/>
  <c r="H30" i="2"/>
  <c r="G30" i="2"/>
  <c r="F30" i="2"/>
  <c r="E30" i="2"/>
  <c r="D30" i="2"/>
  <c r="C30" i="2"/>
  <c r="B30" i="2"/>
  <c r="AQ29" i="2"/>
  <c r="AS29" i="2" s="1"/>
  <c r="AK29" i="2"/>
  <c r="AJ29" i="2"/>
  <c r="AP29" i="2" s="1"/>
  <c r="AI29" i="2"/>
  <c r="AH29" i="2"/>
  <c r="AG29" i="2"/>
  <c r="AF29" i="2"/>
  <c r="AE29" i="2"/>
  <c r="AD29" i="2"/>
  <c r="AW29" i="2" s="1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N29" i="2" s="1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N24" i="2" s="1"/>
  <c r="M28" i="2"/>
  <c r="L28" i="2"/>
  <c r="K28" i="2"/>
  <c r="J28" i="2"/>
  <c r="I28" i="2"/>
  <c r="H28" i="2"/>
  <c r="G28" i="2"/>
  <c r="F28" i="2"/>
  <c r="E28" i="2"/>
  <c r="D28" i="2"/>
  <c r="C28" i="2"/>
  <c r="B28" i="2"/>
  <c r="B24" i="2" s="1"/>
  <c r="AK27" i="2"/>
  <c r="AW27" i="2" s="1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K26" i="2"/>
  <c r="AJ26" i="2"/>
  <c r="AI26" i="2"/>
  <c r="AH26" i="2"/>
  <c r="AG26" i="2"/>
  <c r="AF26" i="2"/>
  <c r="AF24" i="2" s="1"/>
  <c r="AE26" i="2"/>
  <c r="AD26" i="2"/>
  <c r="AC26" i="2"/>
  <c r="AB26" i="2"/>
  <c r="AA26" i="2"/>
  <c r="Z26" i="2"/>
  <c r="Y26" i="2"/>
  <c r="X26" i="2"/>
  <c r="W26" i="2"/>
  <c r="V26" i="2"/>
  <c r="U26" i="2"/>
  <c r="T26" i="2"/>
  <c r="T24" i="2" s="1"/>
  <c r="S26" i="2"/>
  <c r="R26" i="2"/>
  <c r="Q26" i="2"/>
  <c r="P26" i="2"/>
  <c r="O26" i="2"/>
  <c r="N26" i="2"/>
  <c r="M26" i="2"/>
  <c r="L26" i="2"/>
  <c r="K26" i="2"/>
  <c r="J26" i="2"/>
  <c r="I26" i="2"/>
  <c r="H26" i="2"/>
  <c r="H24" i="2" s="1"/>
  <c r="G26" i="2"/>
  <c r="F26" i="2"/>
  <c r="E26" i="2"/>
  <c r="D26" i="2"/>
  <c r="C26" i="2"/>
  <c r="B26" i="2"/>
  <c r="AK25" i="2"/>
  <c r="AQ25" i="2" s="1"/>
  <c r="AS25" i="2" s="1"/>
  <c r="AJ25" i="2"/>
  <c r="AI25" i="2"/>
  <c r="AI24" i="2" s="1"/>
  <c r="AH25" i="2"/>
  <c r="AH24" i="2" s="1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K24" i="2"/>
  <c r="AK23" i="2"/>
  <c r="AW23" i="2" s="1"/>
  <c r="AJ23" i="2"/>
  <c r="AP23" i="2" s="1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AU23" i="2" s="1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N23" i="2" s="1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S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S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K18" i="2"/>
  <c r="AN18" i="2" s="1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K17" i="2" s="1"/>
  <c r="J18" i="2"/>
  <c r="I18" i="2"/>
  <c r="H18" i="2"/>
  <c r="G18" i="2"/>
  <c r="F18" i="2"/>
  <c r="E18" i="2"/>
  <c r="E17" i="2" s="1"/>
  <c r="D18" i="2"/>
  <c r="C18" i="2"/>
  <c r="B18" i="2"/>
  <c r="AD17" i="2"/>
  <c r="AC17" i="2"/>
  <c r="W17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K15" i="2"/>
  <c r="AW15" i="2" s="1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U14" i="2"/>
  <c r="AK14" i="2"/>
  <c r="AJ14" i="2"/>
  <c r="AQ14" i="2" s="1"/>
  <c r="AS14" i="2" s="1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N14" i="2" s="1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K12" i="2"/>
  <c r="AP12" i="2" s="1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S11" i="2" s="1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E11" i="2" s="1"/>
  <c r="D12" i="2"/>
  <c r="D11" i="2" s="1"/>
  <c r="C12" i="2"/>
  <c r="B12" i="2"/>
  <c r="B11" i="2" s="1"/>
  <c r="AB11" i="2"/>
  <c r="U11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N9" i="2" s="1"/>
  <c r="AK8" i="2"/>
  <c r="AU8" i="2" s="1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K7" i="2"/>
  <c r="AW7" i="2" s="1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Q6" i="2"/>
  <c r="AS6" i="2" s="1"/>
  <c r="AP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AU6" i="2" s="1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N6" i="2" s="1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K4" i="2"/>
  <c r="AU4" i="2" s="1"/>
  <c r="AJ4" i="2"/>
  <c r="AP4" i="2" s="1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F2" i="2" s="1"/>
  <c r="E4" i="2"/>
  <c r="D4" i="2"/>
  <c r="C4" i="2"/>
  <c r="B4" i="2"/>
  <c r="AN4" i="2" s="1"/>
  <c r="AK3" i="2"/>
  <c r="AJ3" i="2"/>
  <c r="AI3" i="2"/>
  <c r="AH3" i="2"/>
  <c r="AG3" i="2"/>
  <c r="AG2" i="2" s="1"/>
  <c r="AF3" i="2"/>
  <c r="AF2" i="2" s="1"/>
  <c r="AE3" i="2"/>
  <c r="AE2" i="2" s="1"/>
  <c r="AD3" i="2"/>
  <c r="AC3" i="2"/>
  <c r="AC2" i="2" s="1"/>
  <c r="AB3" i="2"/>
  <c r="AB2" i="2" s="1"/>
  <c r="AA3" i="2"/>
  <c r="Z3" i="2"/>
  <c r="Y3" i="2"/>
  <c r="Y2" i="2" s="1"/>
  <c r="X3" i="2"/>
  <c r="W3" i="2"/>
  <c r="V3" i="2"/>
  <c r="U3" i="2"/>
  <c r="U2" i="2" s="1"/>
  <c r="T3" i="2"/>
  <c r="T2" i="2" s="1"/>
  <c r="S3" i="2"/>
  <c r="R3" i="2"/>
  <c r="Q3" i="2"/>
  <c r="P3" i="2"/>
  <c r="P2" i="2" s="1"/>
  <c r="O3" i="2"/>
  <c r="N3" i="2"/>
  <c r="M3" i="2"/>
  <c r="L3" i="2"/>
  <c r="K3" i="2"/>
  <c r="J3" i="2"/>
  <c r="I3" i="2"/>
  <c r="H3" i="2"/>
  <c r="G3" i="2"/>
  <c r="F3" i="2"/>
  <c r="E3" i="2"/>
  <c r="D3" i="2"/>
  <c r="D2" i="2" s="1"/>
  <c r="C3" i="2"/>
  <c r="B3" i="2"/>
  <c r="X2" i="2"/>
  <c r="I2" i="2"/>
  <c r="H2" i="2"/>
  <c r="G2" i="2"/>
  <c r="AQ8" i="2" l="1"/>
  <c r="AS8" i="2" s="1"/>
  <c r="T11" i="2"/>
  <c r="M17" i="2"/>
  <c r="C37" i="2"/>
  <c r="O37" i="2"/>
  <c r="AA37" i="2"/>
  <c r="V37" i="2"/>
  <c r="F11" i="2"/>
  <c r="R11" i="2"/>
  <c r="AD11" i="2"/>
  <c r="AU12" i="2"/>
  <c r="AP15" i="2"/>
  <c r="AU18" i="2"/>
  <c r="C17" i="2"/>
  <c r="O17" i="2"/>
  <c r="AA17" i="2"/>
  <c r="AQ22" i="2"/>
  <c r="AS22" i="2" s="1"/>
  <c r="C24" i="2"/>
  <c r="O24" i="2"/>
  <c r="AA24" i="2"/>
  <c r="AP25" i="2"/>
  <c r="X24" i="2"/>
  <c r="F37" i="2"/>
  <c r="F48" i="2" s="1"/>
  <c r="AW18" i="2"/>
  <c r="W32" i="2"/>
  <c r="L11" i="2"/>
  <c r="B17" i="2"/>
  <c r="G11" i="2"/>
  <c r="P17" i="2"/>
  <c r="AP34" i="2"/>
  <c r="AN15" i="2"/>
  <c r="G17" i="2"/>
  <c r="G47" i="2" s="1"/>
  <c r="AN27" i="2"/>
  <c r="O32" i="2"/>
  <c r="R37" i="2"/>
  <c r="K2" i="2"/>
  <c r="K48" i="2" s="1"/>
  <c r="AI2" i="2"/>
  <c r="I11" i="2"/>
  <c r="AG11" i="2"/>
  <c r="AQ15" i="2"/>
  <c r="AS15" i="2" s="1"/>
  <c r="H17" i="2"/>
  <c r="T17" i="2"/>
  <c r="AF17" i="2"/>
  <c r="AQ23" i="2"/>
  <c r="AS23" i="2" s="1"/>
  <c r="AP27" i="2"/>
  <c r="W24" i="2"/>
  <c r="P32" i="2"/>
  <c r="AP36" i="2"/>
  <c r="S37" i="2"/>
  <c r="AQ41" i="2"/>
  <c r="AS41" i="2" s="1"/>
  <c r="J37" i="2"/>
  <c r="AH37" i="2"/>
  <c r="Z24" i="2"/>
  <c r="AE32" i="2"/>
  <c r="R2" i="2"/>
  <c r="U32" i="2"/>
  <c r="E2" i="2"/>
  <c r="AC24" i="2"/>
  <c r="AC47" i="2" s="1"/>
  <c r="P11" i="2"/>
  <c r="P47" i="2" s="1"/>
  <c r="AQ12" i="2"/>
  <c r="AS12" i="2" s="1"/>
  <c r="Y24" i="2"/>
  <c r="V24" i="2"/>
  <c r="K32" i="2"/>
  <c r="AQ38" i="2"/>
  <c r="AS38" i="2" s="1"/>
  <c r="AJ11" i="2"/>
  <c r="N17" i="2"/>
  <c r="AN25" i="2"/>
  <c r="AE11" i="2"/>
  <c r="N11" i="2"/>
  <c r="AB17" i="2"/>
  <c r="AB47" i="2" s="1"/>
  <c r="AB24" i="2"/>
  <c r="AW26" i="2"/>
  <c r="B37" i="2"/>
  <c r="V2" i="2"/>
  <c r="AH2" i="2"/>
  <c r="O11" i="2"/>
  <c r="S17" i="2"/>
  <c r="B2" i="2"/>
  <c r="B47" i="2" s="1"/>
  <c r="Z2" i="2"/>
  <c r="AQ4" i="2"/>
  <c r="AS4" i="2" s="1"/>
  <c r="AU27" i="2"/>
  <c r="E32" i="2"/>
  <c r="AC32" i="2"/>
  <c r="AN12" i="2"/>
  <c r="S2" i="2"/>
  <c r="Q2" i="2"/>
  <c r="U24" i="2"/>
  <c r="J24" i="2"/>
  <c r="AC37" i="2"/>
  <c r="X11" i="2"/>
  <c r="Z17" i="2"/>
  <c r="Z11" i="2"/>
  <c r="D17" i="2"/>
  <c r="P24" i="2"/>
  <c r="N37" i="2"/>
  <c r="J2" i="2"/>
  <c r="J47" i="2" s="1"/>
  <c r="AA11" i="2"/>
  <c r="AE17" i="2"/>
  <c r="N2" i="2"/>
  <c r="AJ2" i="2"/>
  <c r="Q11" i="2"/>
  <c r="I17" i="2"/>
  <c r="U17" i="2"/>
  <c r="F17" i="2"/>
  <c r="G24" i="2"/>
  <c r="Q32" i="2"/>
  <c r="AW9" i="2"/>
  <c r="K11" i="2"/>
  <c r="AU15" i="2"/>
  <c r="AC11" i="2"/>
  <c r="J17" i="2"/>
  <c r="R17" i="2"/>
  <c r="AW28" i="2"/>
  <c r="F32" i="2"/>
  <c r="R32" i="2"/>
  <c r="AD32" i="2"/>
  <c r="AB37" i="2"/>
  <c r="K37" i="2"/>
  <c r="AI37" i="2"/>
  <c r="AP44" i="2"/>
  <c r="M48" i="3"/>
  <c r="M47" i="3"/>
  <c r="L48" i="3"/>
  <c r="L47" i="3"/>
  <c r="AJ48" i="3"/>
  <c r="AJ47" i="3"/>
  <c r="P48" i="3"/>
  <c r="P47" i="3"/>
  <c r="N48" i="3"/>
  <c r="N47" i="3"/>
  <c r="X47" i="3"/>
  <c r="X48" i="3"/>
  <c r="Q48" i="3"/>
  <c r="Q47" i="3"/>
  <c r="O48" i="3"/>
  <c r="O47" i="3"/>
  <c r="AC48" i="4"/>
  <c r="AC47" i="5"/>
  <c r="AC48" i="5"/>
  <c r="Y8" i="7"/>
  <c r="AG11" i="3"/>
  <c r="AG12" i="6"/>
  <c r="AM17" i="3"/>
  <c r="AP17" i="3"/>
  <c r="AO17" i="3"/>
  <c r="U8" i="7"/>
  <c r="C48" i="3"/>
  <c r="AA48" i="3"/>
  <c r="AM5" i="3"/>
  <c r="J11" i="3"/>
  <c r="V11" i="3"/>
  <c r="AH11" i="3"/>
  <c r="AH12" i="6"/>
  <c r="AA47" i="3"/>
  <c r="AJ47" i="4"/>
  <c r="AP2" i="4"/>
  <c r="AJ48" i="4"/>
  <c r="Q96" i="6"/>
  <c r="Y15" i="7"/>
  <c r="AG8" i="7"/>
  <c r="AC48" i="3"/>
  <c r="AC47" i="3"/>
  <c r="AP6" i="3"/>
  <c r="AO6" i="3"/>
  <c r="AM6" i="3"/>
  <c r="AJ11" i="3"/>
  <c r="AO11" i="3" s="1"/>
  <c r="AJ12" i="6"/>
  <c r="AO12" i="3"/>
  <c r="AM12" i="3"/>
  <c r="AP12" i="3"/>
  <c r="AK12" i="6"/>
  <c r="O47" i="4"/>
  <c r="AP32" i="4"/>
  <c r="AO32" i="4"/>
  <c r="AM32" i="4"/>
  <c r="AL32" i="4"/>
  <c r="V32" i="4"/>
  <c r="AK2" i="3"/>
  <c r="AP35" i="5"/>
  <c r="AO35" i="5"/>
  <c r="AM35" i="5"/>
  <c r="AH2" i="3"/>
  <c r="AO15" i="3"/>
  <c r="AM15" i="3"/>
  <c r="G47" i="4"/>
  <c r="AP7" i="4"/>
  <c r="AO7" i="4"/>
  <c r="AM7" i="4"/>
  <c r="J48" i="5"/>
  <c r="J47" i="5"/>
  <c r="AP6" i="5"/>
  <c r="I2" i="3"/>
  <c r="C47" i="3"/>
  <c r="K32" i="4"/>
  <c r="U103" i="6"/>
  <c r="K2" i="3"/>
  <c r="W2" i="3"/>
  <c r="AI2" i="3"/>
  <c r="AM8" i="3"/>
  <c r="G17" i="3"/>
  <c r="E11" i="4"/>
  <c r="E47" i="4" s="1"/>
  <c r="AP15" i="4"/>
  <c r="AP34" i="4"/>
  <c r="AO34" i="4"/>
  <c r="AL34" i="4"/>
  <c r="AC47" i="4"/>
  <c r="P48" i="5"/>
  <c r="F48" i="5"/>
  <c r="F47" i="5"/>
  <c r="AD47" i="5"/>
  <c r="C11" i="5"/>
  <c r="O11" i="5"/>
  <c r="AA11" i="5"/>
  <c r="AM12" i="5"/>
  <c r="K11" i="5"/>
  <c r="K48" i="5" s="1"/>
  <c r="W11" i="5"/>
  <c r="W48" i="5" s="1"/>
  <c r="AI11" i="5"/>
  <c r="AI48" i="5" s="1"/>
  <c r="AP37" i="5"/>
  <c r="AO37" i="5"/>
  <c r="AM37" i="5"/>
  <c r="W90" i="6"/>
  <c r="R47" i="3"/>
  <c r="C48" i="4"/>
  <c r="C47" i="4"/>
  <c r="G47" i="3"/>
  <c r="AG2" i="3"/>
  <c r="Z11" i="6"/>
  <c r="Z91" i="6"/>
  <c r="Z90" i="6" s="1"/>
  <c r="AO8" i="3"/>
  <c r="AP15" i="3"/>
  <c r="AM16" i="3"/>
  <c r="B24" i="3"/>
  <c r="B48" i="3" s="1"/>
  <c r="AM24" i="3"/>
  <c r="E24" i="4"/>
  <c r="Q24" i="4"/>
  <c r="AC24" i="4"/>
  <c r="AO6" i="5"/>
  <c r="D11" i="5"/>
  <c r="D47" i="5" s="1"/>
  <c r="P11" i="5"/>
  <c r="P47" i="5" s="1"/>
  <c r="AB11" i="5"/>
  <c r="AB47" i="5" s="1"/>
  <c r="AD48" i="3"/>
  <c r="AK48" i="4"/>
  <c r="AE48" i="3"/>
  <c r="V2" i="3"/>
  <c r="AP3" i="3"/>
  <c r="AO3" i="3"/>
  <c r="AM3" i="3"/>
  <c r="AM9" i="3"/>
  <c r="AP9" i="3"/>
  <c r="AO9" i="3"/>
  <c r="Y11" i="3"/>
  <c r="Y47" i="3" s="1"/>
  <c r="AO16" i="3"/>
  <c r="AO24" i="3"/>
  <c r="AP28" i="3"/>
  <c r="T48" i="4"/>
  <c r="T47" i="4"/>
  <c r="AF48" i="4"/>
  <c r="AL48" i="4" s="1"/>
  <c r="AF47" i="4"/>
  <c r="AL47" i="4" s="1"/>
  <c r="AP9" i="4"/>
  <c r="AO9" i="4"/>
  <c r="AM9" i="4"/>
  <c r="Q11" i="5"/>
  <c r="AC11" i="5"/>
  <c r="AK11" i="5"/>
  <c r="AP13" i="5"/>
  <c r="AM13" i="5"/>
  <c r="AO13" i="5"/>
  <c r="D48" i="5"/>
  <c r="AO104" i="6"/>
  <c r="AM104" i="6"/>
  <c r="D48" i="3"/>
  <c r="AI11" i="3"/>
  <c r="AI12" i="6"/>
  <c r="AB47" i="3"/>
  <c r="E18" i="7"/>
  <c r="E48" i="3"/>
  <c r="E47" i="3"/>
  <c r="S48" i="3"/>
  <c r="S47" i="3"/>
  <c r="AK32" i="3"/>
  <c r="AP35" i="3"/>
  <c r="AO35" i="3"/>
  <c r="AM35" i="3"/>
  <c r="D48" i="4"/>
  <c r="E48" i="4"/>
  <c r="U2" i="3"/>
  <c r="J2" i="3"/>
  <c r="Z11" i="3"/>
  <c r="Z48" i="3" s="1"/>
  <c r="AP16" i="3"/>
  <c r="AB48" i="4"/>
  <c r="I48" i="4"/>
  <c r="U47" i="4"/>
  <c r="U48" i="4"/>
  <c r="G11" i="4"/>
  <c r="S11" i="4"/>
  <c r="AE11" i="4"/>
  <c r="AE47" i="4" s="1"/>
  <c r="AO15" i="4"/>
  <c r="AK47" i="4"/>
  <c r="AL7" i="4" s="1"/>
  <c r="H48" i="5"/>
  <c r="H47" i="5"/>
  <c r="AF48" i="5"/>
  <c r="AL48" i="5" s="1"/>
  <c r="AF47" i="5"/>
  <c r="G48" i="5"/>
  <c r="G47" i="5"/>
  <c r="R11" i="5"/>
  <c r="R48" i="5" s="1"/>
  <c r="AD11" i="5"/>
  <c r="AD48" i="5" s="1"/>
  <c r="AH47" i="4"/>
  <c r="AE48" i="5"/>
  <c r="AE47" i="5"/>
  <c r="T48" i="5"/>
  <c r="T47" i="5"/>
  <c r="S48" i="5"/>
  <c r="S47" i="5"/>
  <c r="Y47" i="6"/>
  <c r="Y117" i="6" s="1"/>
  <c r="AM83" i="6"/>
  <c r="AM92" i="6"/>
  <c r="AM111" i="6"/>
  <c r="AP14" i="5"/>
  <c r="AO14" i="5"/>
  <c r="AM108" i="6"/>
  <c r="F48" i="4"/>
  <c r="AG47" i="4"/>
  <c r="AP16" i="4"/>
  <c r="AO16" i="4"/>
  <c r="AM16" i="4"/>
  <c r="AP7" i="5"/>
  <c r="AO7" i="5"/>
  <c r="AM7" i="5"/>
  <c r="AO81" i="6"/>
  <c r="AO13" i="3"/>
  <c r="G48" i="4"/>
  <c r="AC11" i="6"/>
  <c r="AC47" i="6" s="1"/>
  <c r="AC117" i="6" s="1"/>
  <c r="AC91" i="6"/>
  <c r="AC90" i="6" s="1"/>
  <c r="AP18" i="3"/>
  <c r="AO18" i="3"/>
  <c r="AM18" i="3"/>
  <c r="F24" i="3"/>
  <c r="F47" i="3" s="1"/>
  <c r="R24" i="3"/>
  <c r="R48" i="3" s="1"/>
  <c r="AD24" i="3"/>
  <c r="AD47" i="3" s="1"/>
  <c r="AP30" i="3"/>
  <c r="R48" i="4"/>
  <c r="R47" i="4"/>
  <c r="AM3" i="4"/>
  <c r="K11" i="4"/>
  <c r="W11" i="4"/>
  <c r="AI11" i="4"/>
  <c r="AK24" i="4"/>
  <c r="AP25" i="4"/>
  <c r="AO25" i="4"/>
  <c r="AM25" i="4"/>
  <c r="AL25" i="4"/>
  <c r="J48" i="4"/>
  <c r="Z47" i="6"/>
  <c r="Z117" i="6" s="1"/>
  <c r="AO83" i="6"/>
  <c r="AO93" i="6"/>
  <c r="AM93" i="6"/>
  <c r="C51" i="7"/>
  <c r="I47" i="4"/>
  <c r="T11" i="4"/>
  <c r="AF11" i="5"/>
  <c r="AM10" i="3"/>
  <c r="G24" i="3"/>
  <c r="G48" i="3" s="1"/>
  <c r="S24" i="3"/>
  <c r="AE24" i="3"/>
  <c r="AE47" i="3" s="1"/>
  <c r="S48" i="4"/>
  <c r="S47" i="4"/>
  <c r="P48" i="4"/>
  <c r="AO3" i="4"/>
  <c r="L11" i="4"/>
  <c r="L47" i="4" s="1"/>
  <c r="X11" i="4"/>
  <c r="X48" i="4" s="1"/>
  <c r="AJ11" i="4"/>
  <c r="H32" i="4"/>
  <c r="H48" i="4" s="1"/>
  <c r="AG48" i="5"/>
  <c r="AM84" i="6"/>
  <c r="AF9" i="7"/>
  <c r="AL9" i="7" s="1"/>
  <c r="R40" i="7"/>
  <c r="Y47" i="4"/>
  <c r="AP37" i="3"/>
  <c r="AE91" i="6"/>
  <c r="AE90" i="6" s="1"/>
  <c r="AE11" i="6"/>
  <c r="AM14" i="3"/>
  <c r="H24" i="3"/>
  <c r="T24" i="3"/>
  <c r="AF24" i="3"/>
  <c r="AM30" i="3"/>
  <c r="Q2" i="4"/>
  <c r="AP3" i="4"/>
  <c r="AP4" i="4"/>
  <c r="AO4" i="4"/>
  <c r="AM4" i="4"/>
  <c r="C24" i="4"/>
  <c r="AA24" i="4"/>
  <c r="AA48" i="4" s="1"/>
  <c r="AH47" i="5"/>
  <c r="L2" i="5"/>
  <c r="X2" i="5"/>
  <c r="AJ2" i="5"/>
  <c r="AP3" i="5"/>
  <c r="AP10" i="5"/>
  <c r="AO10" i="5"/>
  <c r="K17" i="5"/>
  <c r="K47" i="5" s="1"/>
  <c r="M32" i="5"/>
  <c r="AK32" i="5"/>
  <c r="N96" i="6"/>
  <c r="L96" i="6"/>
  <c r="X96" i="6"/>
  <c r="AJ96" i="6"/>
  <c r="AM13" i="3"/>
  <c r="AM2" i="4"/>
  <c r="AP10" i="3"/>
  <c r="H11" i="3"/>
  <c r="H48" i="3" s="1"/>
  <c r="T11" i="3"/>
  <c r="T47" i="3" s="1"/>
  <c r="AF12" i="6"/>
  <c r="AF11" i="3"/>
  <c r="AF48" i="3" s="1"/>
  <c r="I24" i="3"/>
  <c r="U24" i="3"/>
  <c r="AG24" i="3"/>
  <c r="AO30" i="3"/>
  <c r="AP31" i="3"/>
  <c r="D24" i="4"/>
  <c r="D47" i="4" s="1"/>
  <c r="AB24" i="4"/>
  <c r="AB47" i="4" s="1"/>
  <c r="P47" i="4"/>
  <c r="L17" i="5"/>
  <c r="Q47" i="6"/>
  <c r="Q117" i="6" s="1"/>
  <c r="D96" i="6"/>
  <c r="AO100" i="6"/>
  <c r="AK96" i="6"/>
  <c r="H103" i="6"/>
  <c r="AF103" i="6"/>
  <c r="AP10" i="4"/>
  <c r="AO10" i="4"/>
  <c r="AM10" i="4"/>
  <c r="AL10" i="4"/>
  <c r="M11" i="4"/>
  <c r="M47" i="4" s="1"/>
  <c r="Y11" i="4"/>
  <c r="Y48" i="4" s="1"/>
  <c r="AK11" i="4"/>
  <c r="B24" i="4"/>
  <c r="N24" i="4"/>
  <c r="Z24" i="4"/>
  <c r="F32" i="4"/>
  <c r="F47" i="4" s="1"/>
  <c r="R32" i="4"/>
  <c r="AD32" i="4"/>
  <c r="AD48" i="4" s="1"/>
  <c r="M2" i="5"/>
  <c r="Y2" i="5"/>
  <c r="AK2" i="5"/>
  <c r="AP22" i="5"/>
  <c r="AD47" i="6"/>
  <c r="AD117" i="6" s="1"/>
  <c r="C103" i="6"/>
  <c r="O103" i="6"/>
  <c r="AA103" i="6"/>
  <c r="AO112" i="6"/>
  <c r="AM112" i="6"/>
  <c r="AE48" i="4"/>
  <c r="B11" i="4"/>
  <c r="B48" i="4" s="1"/>
  <c r="N11" i="4"/>
  <c r="N48" i="4" s="1"/>
  <c r="Z11" i="4"/>
  <c r="Z48" i="4" s="1"/>
  <c r="J11" i="4"/>
  <c r="J47" i="4" s="1"/>
  <c r="V11" i="4"/>
  <c r="V47" i="4" s="1"/>
  <c r="AH11" i="4"/>
  <c r="AH48" i="4" s="1"/>
  <c r="AP35" i="4"/>
  <c r="AO35" i="4"/>
  <c r="AM35" i="4"/>
  <c r="B2" i="5"/>
  <c r="N2" i="5"/>
  <c r="Z2" i="5"/>
  <c r="E24" i="5"/>
  <c r="E48" i="5" s="1"/>
  <c r="Q24" i="5"/>
  <c r="Q47" i="5" s="1"/>
  <c r="AC24" i="5"/>
  <c r="AK24" i="5"/>
  <c r="AP27" i="5"/>
  <c r="S47" i="6"/>
  <c r="S117" i="6" s="1"/>
  <c r="AE47" i="6"/>
  <c r="AE117" i="6" s="1"/>
  <c r="AA91" i="6"/>
  <c r="AA90" i="6" s="1"/>
  <c r="AM102" i="6"/>
  <c r="D103" i="6"/>
  <c r="P103" i="6"/>
  <c r="AB103" i="6"/>
  <c r="U48" i="5"/>
  <c r="U47" i="5"/>
  <c r="C2" i="5"/>
  <c r="O2" i="5"/>
  <c r="AA2" i="5"/>
  <c r="J32" i="5"/>
  <c r="V32" i="5"/>
  <c r="V48" i="5" s="1"/>
  <c r="AH32" i="5"/>
  <c r="AH48" i="5" s="1"/>
  <c r="T47" i="6"/>
  <c r="T117" i="6" s="1"/>
  <c r="AB91" i="6"/>
  <c r="AB90" i="6" s="1"/>
  <c r="AD11" i="6"/>
  <c r="AD91" i="6"/>
  <c r="AD90" i="6" s="1"/>
  <c r="AO28" i="3"/>
  <c r="AO31" i="3"/>
  <c r="AO37" i="3"/>
  <c r="AM6" i="4"/>
  <c r="AO12" i="4"/>
  <c r="AP26" i="4"/>
  <c r="AO26" i="4"/>
  <c r="AM26" i="4"/>
  <c r="AL26" i="4"/>
  <c r="AO3" i="5"/>
  <c r="AM27" i="5"/>
  <c r="K32" i="5"/>
  <c r="W32" i="5"/>
  <c r="AI32" i="5"/>
  <c r="U47" i="6"/>
  <c r="U117" i="6" s="1"/>
  <c r="R103" i="6"/>
  <c r="AD103" i="6"/>
  <c r="AM109" i="6"/>
  <c r="K2" i="4"/>
  <c r="W2" i="4"/>
  <c r="AI2" i="4"/>
  <c r="AP12" i="4"/>
  <c r="AP13" i="4"/>
  <c r="AO13" i="4"/>
  <c r="AM13" i="4"/>
  <c r="AP4" i="5"/>
  <c r="AO4" i="5"/>
  <c r="AM4" i="5"/>
  <c r="AO27" i="5"/>
  <c r="X32" i="5"/>
  <c r="AJ32" i="5"/>
  <c r="AJ81" i="6"/>
  <c r="AM81" i="6" s="1"/>
  <c r="J81" i="6"/>
  <c r="V81" i="6"/>
  <c r="AH81" i="6"/>
  <c r="H81" i="6"/>
  <c r="T81" i="6"/>
  <c r="AF81" i="6"/>
  <c r="AP30" i="5"/>
  <c r="AB47" i="6"/>
  <c r="AB117" i="6" s="1"/>
  <c r="P40" i="7"/>
  <c r="AJ9" i="7"/>
  <c r="AM85" i="6"/>
  <c r="H51" i="7"/>
  <c r="H50" i="7"/>
  <c r="AI2" i="7"/>
  <c r="B18" i="7"/>
  <c r="AE6" i="7" s="1"/>
  <c r="AM22" i="5"/>
  <c r="AM105" i="6"/>
  <c r="AJ2" i="7"/>
  <c r="P4" i="7"/>
  <c r="F51" i="7"/>
  <c r="F50" i="7"/>
  <c r="AG2" i="7"/>
  <c r="D51" i="7"/>
  <c r="D50" i="7"/>
  <c r="B32" i="7"/>
  <c r="AE8" i="7" s="1"/>
  <c r="AM8" i="5"/>
  <c r="AO22" i="5"/>
  <c r="AM86" i="6"/>
  <c r="AM95" i="6"/>
  <c r="AO106" i="6"/>
  <c r="Y4" i="7"/>
  <c r="G51" i="7"/>
  <c r="G50" i="7"/>
  <c r="AH2" i="7"/>
  <c r="E51" i="7"/>
  <c r="E50" i="7"/>
  <c r="U4" i="7"/>
  <c r="AF2" i="7"/>
  <c r="R4" i="7"/>
  <c r="S4" i="7" s="1"/>
  <c r="AN2" i="7" s="1"/>
  <c r="I32" i="5"/>
  <c r="I48" i="5" s="1"/>
  <c r="U32" i="5"/>
  <c r="AG32" i="5"/>
  <c r="AG47" i="5" s="1"/>
  <c r="AO87" i="6"/>
  <c r="I90" i="6"/>
  <c r="U90" i="6"/>
  <c r="AM106" i="6"/>
  <c r="AJ3" i="7"/>
  <c r="P8" i="7"/>
  <c r="AG5" i="7"/>
  <c r="R15" i="7"/>
  <c r="S15" i="7" s="1"/>
  <c r="AN5" i="7" s="1"/>
  <c r="AF7" i="7"/>
  <c r="AL4" i="7"/>
  <c r="R21" i="7"/>
  <c r="R43" i="7"/>
  <c r="R8" i="7"/>
  <c r="S8" i="7" s="1"/>
  <c r="AN3" i="7" s="1"/>
  <c r="U15" i="7"/>
  <c r="I20" i="7"/>
  <c r="P20" i="7" s="1"/>
  <c r="I24" i="7"/>
  <c r="C50" i="7"/>
  <c r="AQ4" i="7"/>
  <c r="R25" i="7"/>
  <c r="AR4" i="7"/>
  <c r="I15" i="7"/>
  <c r="AM113" i="6"/>
  <c r="P9" i="7"/>
  <c r="R14" i="7"/>
  <c r="S14" i="7" s="1"/>
  <c r="AN4" i="7" s="1"/>
  <c r="I18" i="7"/>
  <c r="I35" i="7"/>
  <c r="P35" i="7" s="1"/>
  <c r="P41" i="7"/>
  <c r="P5" i="7"/>
  <c r="AM115" i="6"/>
  <c r="AP9" i="2"/>
  <c r="T47" i="2"/>
  <c r="T48" i="2"/>
  <c r="AC48" i="2"/>
  <c r="U47" i="2"/>
  <c r="AW12" i="2"/>
  <c r="AN13" i="2"/>
  <c r="AQ13" i="2"/>
  <c r="AS13" i="2" s="1"/>
  <c r="AP13" i="2"/>
  <c r="AW13" i="2"/>
  <c r="AU13" i="2"/>
  <c r="AJ17" i="2"/>
  <c r="H37" i="2"/>
  <c r="AF37" i="2"/>
  <c r="M2" i="2"/>
  <c r="AP3" i="2"/>
  <c r="AU3" i="2"/>
  <c r="AW3" i="2"/>
  <c r="AQ3" i="2"/>
  <c r="AS3" i="2" s="1"/>
  <c r="AN3" i="2"/>
  <c r="AK2" i="2"/>
  <c r="AQ7" i="2"/>
  <c r="AS7" i="2" s="1"/>
  <c r="AP7" i="2"/>
  <c r="H11" i="2"/>
  <c r="AF11" i="2"/>
  <c r="I24" i="2"/>
  <c r="L32" i="2"/>
  <c r="AJ32" i="2"/>
  <c r="U37" i="2"/>
  <c r="AG37" i="2"/>
  <c r="AN21" i="2"/>
  <c r="AU21" i="2"/>
  <c r="AW21" i="2"/>
  <c r="AQ21" i="2"/>
  <c r="AS21" i="2" s="1"/>
  <c r="AP21" i="2"/>
  <c r="AN37" i="2"/>
  <c r="H47" i="2"/>
  <c r="AP35" i="2"/>
  <c r="AQ35" i="2"/>
  <c r="AS35" i="2" s="1"/>
  <c r="AW35" i="2"/>
  <c r="AU35" i="2"/>
  <c r="AN35" i="2"/>
  <c r="D24" i="2"/>
  <c r="T37" i="2"/>
  <c r="F47" i="2"/>
  <c r="W2" i="2"/>
  <c r="G37" i="2"/>
  <c r="B48" i="2"/>
  <c r="N47" i="2"/>
  <c r="C2" i="2"/>
  <c r="O2" i="2"/>
  <c r="AA2" i="2"/>
  <c r="AH11" i="2"/>
  <c r="E24" i="2"/>
  <c r="X32" i="2"/>
  <c r="AD2" i="2"/>
  <c r="AN7" i="2"/>
  <c r="V17" i="2"/>
  <c r="AJ24" i="2"/>
  <c r="R24" i="2"/>
  <c r="M32" i="2"/>
  <c r="AU33" i="2"/>
  <c r="AW33" i="2"/>
  <c r="AK32" i="2"/>
  <c r="AQ33" i="2"/>
  <c r="AS33" i="2" s="1"/>
  <c r="P37" i="2"/>
  <c r="AP5" i="2"/>
  <c r="AW5" i="2"/>
  <c r="AN5" i="2"/>
  <c r="V11" i="2"/>
  <c r="V47" i="2" s="1"/>
  <c r="AI17" i="2"/>
  <c r="AE24" i="2"/>
  <c r="N32" i="2"/>
  <c r="Z37" i="2"/>
  <c r="W11" i="2"/>
  <c r="AQ16" i="2"/>
  <c r="AS16" i="2" s="1"/>
  <c r="X17" i="2"/>
  <c r="AA32" i="2"/>
  <c r="AD37" i="2"/>
  <c r="AP39" i="2"/>
  <c r="AU7" i="2"/>
  <c r="AU9" i="2"/>
  <c r="AN26" i="2"/>
  <c r="D32" i="2"/>
  <c r="AN33" i="2"/>
  <c r="AQ5" i="2"/>
  <c r="AS5" i="2" s="1"/>
  <c r="AN8" i="2"/>
  <c r="AW8" i="2"/>
  <c r="AW10" i="2"/>
  <c r="AP10" i="2"/>
  <c r="AU10" i="2"/>
  <c r="AN22" i="2"/>
  <c r="AP26" i="2"/>
  <c r="AP33" i="2"/>
  <c r="AU5" i="2"/>
  <c r="AP16" i="2"/>
  <c r="AH17" i="2"/>
  <c r="AQ18" i="2"/>
  <c r="AS18" i="2" s="1"/>
  <c r="AP22" i="2"/>
  <c r="AU28" i="2"/>
  <c r="AW31" i="2"/>
  <c r="AQ36" i="2"/>
  <c r="AS36" i="2" s="1"/>
  <c r="AP40" i="2"/>
  <c r="C11" i="2"/>
  <c r="AP14" i="2"/>
  <c r="AU16" i="2"/>
  <c r="Q17" i="2"/>
  <c r="AN31" i="2"/>
  <c r="Q24" i="2"/>
  <c r="F24" i="2"/>
  <c r="AD24" i="2"/>
  <c r="AQ30" i="2"/>
  <c r="AS30" i="2" s="1"/>
  <c r="AP30" i="2"/>
  <c r="AN30" i="2"/>
  <c r="D37" i="2"/>
  <c r="AW4" i="2"/>
  <c r="J11" i="2"/>
  <c r="AK24" i="2"/>
  <c r="S24" i="2"/>
  <c r="AW25" i="2"/>
  <c r="AP28" i="2"/>
  <c r="AQ28" i="2"/>
  <c r="AS28" i="2" s="1"/>
  <c r="B32" i="2"/>
  <c r="Z32" i="2"/>
  <c r="AN39" i="2"/>
  <c r="AI11" i="2"/>
  <c r="L17" i="2"/>
  <c r="AW22" i="2"/>
  <c r="AU22" i="2"/>
  <c r="AU26" i="2"/>
  <c r="AQ26" i="2"/>
  <c r="AS26" i="2" s="1"/>
  <c r="Y17" i="2"/>
  <c r="AG24" i="2"/>
  <c r="AN28" i="2"/>
  <c r="AU30" i="2"/>
  <c r="AE37" i="2"/>
  <c r="AN16" i="2"/>
  <c r="AG17" i="2"/>
  <c r="AJ37" i="2"/>
  <c r="AN10" i="2"/>
  <c r="AW16" i="2"/>
  <c r="M24" i="2"/>
  <c r="AU25" i="2"/>
  <c r="AQ27" i="2"/>
  <c r="AS27" i="2" s="1"/>
  <c r="AP31" i="2"/>
  <c r="AP8" i="2"/>
  <c r="AQ10" i="2"/>
  <c r="AS10" i="2" s="1"/>
  <c r="AK17" i="2"/>
  <c r="AQ31" i="2"/>
  <c r="AS31" i="2" s="1"/>
  <c r="L37" i="2"/>
  <c r="I37" i="2"/>
  <c r="AW36" i="2"/>
  <c r="AN36" i="2"/>
  <c r="L2" i="2"/>
  <c r="AW14" i="2"/>
  <c r="M37" i="2"/>
  <c r="Y37" i="2"/>
  <c r="AW6" i="2"/>
  <c r="AQ9" i="2"/>
  <c r="AS9" i="2" s="1"/>
  <c r="AP18" i="2"/>
  <c r="AU29" i="2"/>
  <c r="M11" i="2"/>
  <c r="Y11" i="2"/>
  <c r="AK11" i="2"/>
  <c r="Q37" i="2"/>
  <c r="G48" i="2" l="1"/>
  <c r="K47" i="2"/>
  <c r="AB48" i="2"/>
  <c r="AQ3" i="7"/>
  <c r="AR3" i="7"/>
  <c r="AG11" i="7"/>
  <c r="AA48" i="5"/>
  <c r="AA47" i="5"/>
  <c r="AO96" i="6"/>
  <c r="AM96" i="6"/>
  <c r="AI91" i="6"/>
  <c r="AI90" i="6" s="1"/>
  <c r="AI11" i="6"/>
  <c r="AI47" i="6" s="1"/>
  <c r="AI117" i="6" s="1"/>
  <c r="AH91" i="6"/>
  <c r="AH90" i="6" s="1"/>
  <c r="AH11" i="6"/>
  <c r="AH47" i="6" s="1"/>
  <c r="AH117" i="6" s="1"/>
  <c r="O48" i="5"/>
  <c r="O47" i="5"/>
  <c r="AP24" i="5"/>
  <c r="AO24" i="5"/>
  <c r="AM24" i="5"/>
  <c r="AL24" i="5"/>
  <c r="AJ48" i="5"/>
  <c r="AJ47" i="5"/>
  <c r="AL42" i="4"/>
  <c r="AL39" i="4"/>
  <c r="AP48" i="4"/>
  <c r="AO48" i="4"/>
  <c r="AL40" i="4"/>
  <c r="AM48" i="4"/>
  <c r="AL41" i="4"/>
  <c r="AL37" i="4"/>
  <c r="AL38" i="4"/>
  <c r="AL3" i="7"/>
  <c r="P15" i="7"/>
  <c r="AJ5" i="7"/>
  <c r="AI47" i="4"/>
  <c r="AI48" i="4"/>
  <c r="C48" i="5"/>
  <c r="C47" i="5"/>
  <c r="AL12" i="4"/>
  <c r="AL11" i="4"/>
  <c r="AP11" i="4"/>
  <c r="AO11" i="4"/>
  <c r="AM11" i="4"/>
  <c r="X48" i="5"/>
  <c r="X47" i="5"/>
  <c r="Q48" i="4"/>
  <c r="Q47" i="4"/>
  <c r="AL9" i="4"/>
  <c r="N47" i="4"/>
  <c r="AI48" i="3"/>
  <c r="AI47" i="3"/>
  <c r="L47" i="5"/>
  <c r="L48" i="5"/>
  <c r="AR2" i="7"/>
  <c r="AQ2" i="7"/>
  <c r="AI11" i="7"/>
  <c r="I47" i="5"/>
  <c r="Z47" i="4"/>
  <c r="V48" i="4"/>
  <c r="AH11" i="7"/>
  <c r="B47" i="5"/>
  <c r="B48" i="5"/>
  <c r="M47" i="5"/>
  <c r="M48" i="5"/>
  <c r="AL33" i="4"/>
  <c r="AL30" i="4"/>
  <c r="AL14" i="4"/>
  <c r="AL8" i="4"/>
  <c r="AL36" i="4"/>
  <c r="AP47" i="4"/>
  <c r="AL35" i="4"/>
  <c r="AL6" i="4"/>
  <c r="AO47" i="4"/>
  <c r="AL31" i="4"/>
  <c r="AL15" i="4"/>
  <c r="M48" i="4"/>
  <c r="X47" i="4"/>
  <c r="Y48" i="3"/>
  <c r="AD47" i="4"/>
  <c r="R47" i="5"/>
  <c r="AL2" i="7"/>
  <c r="AF11" i="7"/>
  <c r="W47" i="4"/>
  <c r="W48" i="4"/>
  <c r="AL47" i="5"/>
  <c r="AP47" i="5"/>
  <c r="K48" i="3"/>
  <c r="K47" i="3"/>
  <c r="AK47" i="3"/>
  <c r="AP2" i="3"/>
  <c r="AO2" i="3"/>
  <c r="AM2" i="3"/>
  <c r="AK48" i="3"/>
  <c r="AF47" i="3"/>
  <c r="J48" i="3"/>
  <c r="J47" i="3"/>
  <c r="P24" i="7"/>
  <c r="AJ7" i="7"/>
  <c r="AI47" i="5"/>
  <c r="AL5" i="4"/>
  <c r="AL16" i="4"/>
  <c r="B47" i="4"/>
  <c r="AM47" i="4" s="1"/>
  <c r="U47" i="3"/>
  <c r="U48" i="3"/>
  <c r="H47" i="4"/>
  <c r="AG47" i="3"/>
  <c r="AG48" i="3"/>
  <c r="AB48" i="5"/>
  <c r="I47" i="3"/>
  <c r="I48" i="3"/>
  <c r="B51" i="7"/>
  <c r="F48" i="3"/>
  <c r="L48" i="4"/>
  <c r="W47" i="3"/>
  <c r="W48" i="3"/>
  <c r="AM2" i="5"/>
  <c r="AK47" i="5"/>
  <c r="AK48" i="5"/>
  <c r="AP2" i="5"/>
  <c r="AO2" i="5"/>
  <c r="AO32" i="5"/>
  <c r="AM32" i="5"/>
  <c r="AL32" i="5"/>
  <c r="AP32" i="5"/>
  <c r="N47" i="5"/>
  <c r="N48" i="5"/>
  <c r="Y48" i="5"/>
  <c r="Y47" i="5"/>
  <c r="AG91" i="6"/>
  <c r="AG90" i="6" s="1"/>
  <c r="AG11" i="6"/>
  <c r="AG47" i="6" s="1"/>
  <c r="AG117" i="6" s="1"/>
  <c r="I32" i="7"/>
  <c r="U24" i="7"/>
  <c r="AL13" i="4"/>
  <c r="AL4" i="4"/>
  <c r="V47" i="5"/>
  <c r="U18" i="7"/>
  <c r="R18" i="7"/>
  <c r="S18" i="7" s="1"/>
  <c r="AN6" i="7" s="1"/>
  <c r="AF6" i="7"/>
  <c r="AP11" i="5"/>
  <c r="AO11" i="5"/>
  <c r="AM11" i="5"/>
  <c r="T48" i="3"/>
  <c r="AJ91" i="6"/>
  <c r="AJ90" i="6" s="1"/>
  <c r="AJ11" i="6"/>
  <c r="AJ47" i="6" s="1"/>
  <c r="AJ117" i="6" s="1"/>
  <c r="R35" i="7"/>
  <c r="B47" i="3"/>
  <c r="AA47" i="4"/>
  <c r="AP11" i="3"/>
  <c r="AF91" i="6"/>
  <c r="AF90" i="6" s="1"/>
  <c r="AF11" i="6"/>
  <c r="AF47" i="6" s="1"/>
  <c r="AF117" i="6" s="1"/>
  <c r="Z47" i="5"/>
  <c r="Z48" i="5"/>
  <c r="AJ6" i="7"/>
  <c r="P18" i="7"/>
  <c r="AL7" i="7"/>
  <c r="AR9" i="7"/>
  <c r="AQ9" i="7"/>
  <c r="W47" i="5"/>
  <c r="AL2" i="4"/>
  <c r="Y32" i="7"/>
  <c r="AL24" i="4"/>
  <c r="AM24" i="4"/>
  <c r="AP24" i="4"/>
  <c r="AO24" i="4"/>
  <c r="H47" i="3"/>
  <c r="R20" i="7"/>
  <c r="V47" i="3"/>
  <c r="V48" i="3"/>
  <c r="E47" i="5"/>
  <c r="AH48" i="3"/>
  <c r="AH47" i="3"/>
  <c r="Z47" i="3"/>
  <c r="K47" i="4"/>
  <c r="K48" i="4"/>
  <c r="AO32" i="3"/>
  <c r="AP32" i="3"/>
  <c r="AM32" i="3"/>
  <c r="AL32" i="3"/>
  <c r="Y18" i="7"/>
  <c r="B50" i="7"/>
  <c r="R24" i="7"/>
  <c r="S24" i="7" s="1"/>
  <c r="AN7" i="7" s="1"/>
  <c r="AL3" i="4"/>
  <c r="Q48" i="5"/>
  <c r="AK11" i="6"/>
  <c r="AK91" i="6"/>
  <c r="W47" i="2"/>
  <c r="W48" i="2"/>
  <c r="AG48" i="2"/>
  <c r="E47" i="2"/>
  <c r="AH48" i="2"/>
  <c r="AA48" i="2"/>
  <c r="AA47" i="2"/>
  <c r="AJ47" i="2"/>
  <c r="AW11" i="2"/>
  <c r="AP11" i="2"/>
  <c r="AU11" i="2"/>
  <c r="AQ11" i="2"/>
  <c r="AS11" i="2" s="1"/>
  <c r="AN11" i="2"/>
  <c r="AF48" i="2"/>
  <c r="AW37" i="2"/>
  <c r="O48" i="2"/>
  <c r="O47" i="2"/>
  <c r="AJ48" i="2"/>
  <c r="V48" i="2"/>
  <c r="C48" i="2"/>
  <c r="C47" i="2"/>
  <c r="N48" i="2"/>
  <c r="AE48" i="2"/>
  <c r="X48" i="2"/>
  <c r="Q48" i="2"/>
  <c r="Y47" i="2"/>
  <c r="R48" i="2"/>
  <c r="I47" i="2"/>
  <c r="AP24" i="2"/>
  <c r="AU24" i="2"/>
  <c r="AW24" i="2"/>
  <c r="AN24" i="2"/>
  <c r="AQ24" i="2"/>
  <c r="AS24" i="2" s="1"/>
  <c r="AG47" i="2"/>
  <c r="D48" i="2"/>
  <c r="Q47" i="2"/>
  <c r="R47" i="2"/>
  <c r="L47" i="2"/>
  <c r="L48" i="2"/>
  <c r="AQ17" i="2"/>
  <c r="AS17" i="2" s="1"/>
  <c r="AN17" i="2"/>
  <c r="AW17" i="2"/>
  <c r="AU17" i="2"/>
  <c r="AP17" i="2"/>
  <c r="AF47" i="2"/>
  <c r="AE47" i="2"/>
  <c r="X47" i="2"/>
  <c r="U48" i="2"/>
  <c r="AI48" i="2"/>
  <c r="S48" i="2"/>
  <c r="AH47" i="2"/>
  <c r="D47" i="2"/>
  <c r="E48" i="2"/>
  <c r="Y48" i="2"/>
  <c r="I48" i="2"/>
  <c r="AN32" i="2"/>
  <c r="AP32" i="2"/>
  <c r="AW32" i="2"/>
  <c r="AU32" i="2"/>
  <c r="AQ32" i="2"/>
  <c r="AS32" i="2" s="1"/>
  <c r="S47" i="2"/>
  <c r="J48" i="2"/>
  <c r="AD47" i="2"/>
  <c r="AD48" i="2"/>
  <c r="Z47" i="2"/>
  <c r="AU37" i="2"/>
  <c r="AQ37" i="2"/>
  <c r="AS37" i="2" s="1"/>
  <c r="AP37" i="2"/>
  <c r="Z48" i="2"/>
  <c r="AI47" i="2"/>
  <c r="H48" i="2"/>
  <c r="AK48" i="2"/>
  <c r="AM2" i="2" s="1"/>
  <c r="AN2" i="2"/>
  <c r="AK47" i="2"/>
  <c r="AU2" i="2"/>
  <c r="AQ2" i="2"/>
  <c r="AS2" i="2" s="1"/>
  <c r="AP2" i="2"/>
  <c r="AW2" i="2"/>
  <c r="M48" i="2"/>
  <c r="M47" i="2"/>
  <c r="P48" i="2"/>
  <c r="AM11" i="2" l="1"/>
  <c r="AP47" i="3"/>
  <c r="AO47" i="3"/>
  <c r="AL7" i="3"/>
  <c r="AM47" i="3"/>
  <c r="AL47" i="3"/>
  <c r="AL21" i="3"/>
  <c r="AL29" i="3"/>
  <c r="AL17" i="3"/>
  <c r="AL13" i="3"/>
  <c r="AL24" i="3"/>
  <c r="AL4" i="3"/>
  <c r="AL10" i="3"/>
  <c r="AL8" i="3"/>
  <c r="AL30" i="3"/>
  <c r="AL28" i="3"/>
  <c r="AL11" i="3"/>
  <c r="AL12" i="3"/>
  <c r="AL9" i="3"/>
  <c r="AL5" i="3"/>
  <c r="AL31" i="3"/>
  <c r="AL3" i="3"/>
  <c r="AL16" i="3"/>
  <c r="AL14" i="3"/>
  <c r="AL18" i="3"/>
  <c r="AL35" i="3"/>
  <c r="AL6" i="3"/>
  <c r="AL15" i="3"/>
  <c r="AJ8" i="7"/>
  <c r="P32" i="7"/>
  <c r="I50" i="7"/>
  <c r="U32" i="7"/>
  <c r="R32" i="7"/>
  <c r="S32" i="7" s="1"/>
  <c r="AN8" i="7" s="1"/>
  <c r="I51" i="7"/>
  <c r="AR6" i="7"/>
  <c r="AQ6" i="7"/>
  <c r="AL41" i="5"/>
  <c r="AL38" i="5"/>
  <c r="AL39" i="5"/>
  <c r="AL42" i="5"/>
  <c r="AO48" i="5"/>
  <c r="AM48" i="5"/>
  <c r="AP48" i="5"/>
  <c r="AL40" i="5"/>
  <c r="AL43" i="5"/>
  <c r="AL37" i="5"/>
  <c r="AO91" i="6"/>
  <c r="AM91" i="6"/>
  <c r="AK90" i="6"/>
  <c r="AL31" i="5"/>
  <c r="AL15" i="5"/>
  <c r="AL30" i="5"/>
  <c r="AL27" i="5"/>
  <c r="AL9" i="5"/>
  <c r="AL3" i="5"/>
  <c r="AL34" i="5"/>
  <c r="AL10" i="5"/>
  <c r="AO47" i="5"/>
  <c r="AM47" i="5"/>
  <c r="AL4" i="5"/>
  <c r="AL12" i="5"/>
  <c r="AL26" i="5"/>
  <c r="AL36" i="5"/>
  <c r="AL13" i="5"/>
  <c r="AL22" i="5"/>
  <c r="AL8" i="5"/>
  <c r="AL17" i="5"/>
  <c r="AL16" i="5"/>
  <c r="AL6" i="5"/>
  <c r="AL7" i="5"/>
  <c r="AL5" i="5"/>
  <c r="AL14" i="5"/>
  <c r="AL35" i="5"/>
  <c r="AK47" i="6"/>
  <c r="AL2" i="5"/>
  <c r="AP48" i="3"/>
  <c r="AO48" i="3"/>
  <c r="AM48" i="3"/>
  <c r="AL43" i="3"/>
  <c r="AL40" i="3"/>
  <c r="AL38" i="3"/>
  <c r="AL44" i="3"/>
  <c r="AL41" i="3"/>
  <c r="AL39" i="3"/>
  <c r="AL42" i="3"/>
  <c r="AL48" i="3"/>
  <c r="AL37" i="3"/>
  <c r="AL11" i="5"/>
  <c r="AL2" i="3"/>
  <c r="AE11" i="7"/>
  <c r="AR7" i="7"/>
  <c r="AQ7" i="7"/>
  <c r="AL6" i="7"/>
  <c r="AJ11" i="7"/>
  <c r="AR5" i="7"/>
  <c r="AQ5" i="7"/>
  <c r="AL5" i="7"/>
  <c r="Y51" i="7"/>
  <c r="AW47" i="2"/>
  <c r="AM47" i="2"/>
  <c r="AL12" i="2"/>
  <c r="AL23" i="2"/>
  <c r="AL4" i="2"/>
  <c r="AQ47" i="2"/>
  <c r="AL36" i="2"/>
  <c r="AL47" i="2"/>
  <c r="AL7" i="2"/>
  <c r="AU47" i="2"/>
  <c r="AL34" i="2"/>
  <c r="AP47" i="2"/>
  <c r="AL14" i="2"/>
  <c r="AN47" i="2"/>
  <c r="AL3" i="2"/>
  <c r="AL5" i="2"/>
  <c r="AL31" i="2"/>
  <c r="AL6" i="2"/>
  <c r="AL33" i="2"/>
  <c r="AL22" i="2"/>
  <c r="AL15" i="2"/>
  <c r="AL35" i="2"/>
  <c r="AL10" i="2"/>
  <c r="AL26" i="2"/>
  <c r="AL25" i="2"/>
  <c r="AL27" i="2"/>
  <c r="AL9" i="2"/>
  <c r="AL21" i="2"/>
  <c r="AL16" i="2"/>
  <c r="AL13" i="2"/>
  <c r="AL30" i="2"/>
  <c r="AL28" i="2"/>
  <c r="AL8" i="2"/>
  <c r="AL18" i="2"/>
  <c r="AL29" i="2"/>
  <c r="AL2" i="2"/>
  <c r="AM44" i="2"/>
  <c r="AN48" i="2"/>
  <c r="AM48" i="2"/>
  <c r="AM38" i="2"/>
  <c r="AW48" i="2"/>
  <c r="AM34" i="2"/>
  <c r="AU48" i="2"/>
  <c r="AM41" i="2"/>
  <c r="AM18" i="2"/>
  <c r="AM9" i="2"/>
  <c r="AQ48" i="2"/>
  <c r="AM29" i="2"/>
  <c r="AM40" i="2"/>
  <c r="AM14" i="2"/>
  <c r="AM43" i="2"/>
  <c r="AM7" i="2"/>
  <c r="AP48" i="2"/>
  <c r="AL48" i="2"/>
  <c r="AM37" i="2"/>
  <c r="AM6" i="2"/>
  <c r="AM12" i="2"/>
  <c r="AM39" i="2"/>
  <c r="AM15" i="2"/>
  <c r="AM4" i="2"/>
  <c r="AM42" i="2"/>
  <c r="AM21" i="2"/>
  <c r="AM16" i="2"/>
  <c r="AM31" i="2"/>
  <c r="AM36" i="2"/>
  <c r="AM35" i="2"/>
  <c r="AM26" i="2"/>
  <c r="AM25" i="2"/>
  <c r="AM13" i="2"/>
  <c r="AM10" i="2"/>
  <c r="AM27" i="2"/>
  <c r="AM33" i="2"/>
  <c r="AM22" i="2"/>
  <c r="AM5" i="2"/>
  <c r="AM3" i="2"/>
  <c r="AM28" i="2"/>
  <c r="AM23" i="2"/>
  <c r="AM8" i="2"/>
  <c r="AM30" i="2"/>
  <c r="AL32" i="2"/>
  <c r="AM24" i="2"/>
  <c r="AL11" i="2"/>
  <c r="AL24" i="2"/>
  <c r="AM17" i="2"/>
  <c r="AM32" i="2"/>
  <c r="AL17" i="2"/>
  <c r="AR8" i="7" l="1"/>
  <c r="AQ8" i="7"/>
  <c r="AL8" i="7"/>
  <c r="AR11" i="7"/>
  <c r="AQ11" i="7"/>
  <c r="AO90" i="6"/>
  <c r="AM90" i="6"/>
  <c r="AL11" i="7"/>
  <c r="P51" i="7"/>
  <c r="U51" i="7"/>
  <c r="R51" i="7"/>
  <c r="P50" i="7"/>
  <c r="R50" i="7"/>
  <c r="AK117" i="6"/>
  <c r="AM47" i="6"/>
  <c r="AS48" i="2"/>
  <c r="AS47" i="2"/>
  <c r="S51" i="7" l="1"/>
  <c r="AN11" i="7" s="1"/>
  <c r="AF57" i="7"/>
  <c r="AF56" i="7"/>
  <c r="AO117" i="6"/>
  <c r="AM117" i="6"/>
</calcChain>
</file>

<file path=xl/sharedStrings.xml><?xml version="1.0" encoding="utf-8"?>
<sst xmlns="http://schemas.openxmlformats.org/spreadsheetml/2006/main" count="504" uniqueCount="94">
  <si>
    <t>1990-2025_PROXY</t>
  </si>
  <si>
    <t>% Share 2025</t>
  </si>
  <si>
    <t>% Share 2025 incl LULUCF</t>
  </si>
  <si>
    <t>% Change 1990-2025</t>
  </si>
  <si>
    <t>Annual change</t>
  </si>
  <si>
    <t>kt CO2</t>
  </si>
  <si>
    <t>Mt CO2</t>
  </si>
  <si>
    <t>% Change 2005-2025</t>
  </si>
  <si>
    <t>% Change 2018-2025</t>
  </si>
  <si>
    <t>Energy Industries</t>
  </si>
  <si>
    <t>Public electricity and heat production</t>
  </si>
  <si>
    <t>Petroleum refining</t>
  </si>
  <si>
    <t>Solid fuels and other energy industries</t>
  </si>
  <si>
    <t>Fugitive emissions</t>
  </si>
  <si>
    <t>Residential</t>
  </si>
  <si>
    <t>Manufacturing Combustion</t>
  </si>
  <si>
    <t>Commercial Services</t>
  </si>
  <si>
    <t>Public Services</t>
  </si>
  <si>
    <t>Transport</t>
  </si>
  <si>
    <t>Domestic aviation</t>
  </si>
  <si>
    <t>Road transportation</t>
  </si>
  <si>
    <t>Railways</t>
  </si>
  <si>
    <t>Domestic navigation</t>
  </si>
  <si>
    <t>Other transportation</t>
  </si>
  <si>
    <t>Industrial Processes</t>
  </si>
  <si>
    <t>Mineral industry</t>
  </si>
  <si>
    <t>Chemical industry</t>
  </si>
  <si>
    <t>Metal industry</t>
  </si>
  <si>
    <t>Non-energy products from fuels and solvent use</t>
  </si>
  <si>
    <t>Other product manufacture and use</t>
  </si>
  <si>
    <t>F-Gases</t>
  </si>
  <si>
    <t>Agriculture</t>
  </si>
  <si>
    <t>Enteric fermentation</t>
  </si>
  <si>
    <t>Manure management</t>
  </si>
  <si>
    <t>Agricultural soils</t>
  </si>
  <si>
    <t>Liming</t>
  </si>
  <si>
    <t>Urea application</t>
  </si>
  <si>
    <t>Agriculture/Forestry fuel combustion</t>
  </si>
  <si>
    <t>Fishing</t>
  </si>
  <si>
    <t>Waste</t>
  </si>
  <si>
    <t>Landfills</t>
  </si>
  <si>
    <t>Biological treatment of solid waste</t>
  </si>
  <si>
    <t>Incineration and open burning of waste</t>
  </si>
  <si>
    <t>Wastewater treatment and discharge</t>
  </si>
  <si>
    <t>Land use, land-use change and forestry</t>
  </si>
  <si>
    <t>Forest land</t>
  </si>
  <si>
    <t>Cropland</t>
  </si>
  <si>
    <t>Grassland</t>
  </si>
  <si>
    <t>Wetlands</t>
  </si>
  <si>
    <t xml:space="preserve">Settlements </t>
  </si>
  <si>
    <t>Other land</t>
  </si>
  <si>
    <t>Harvested wood products</t>
  </si>
  <si>
    <r>
      <t>Other</t>
    </r>
    <r>
      <rPr>
        <i/>
        <sz val="9"/>
        <rFont val="Times New Roman"/>
        <family val="1"/>
      </rPr>
      <t xml:space="preserve">       </t>
    </r>
  </si>
  <si>
    <t>National Total</t>
  </si>
  <si>
    <t>National Total with LULUCF</t>
  </si>
  <si>
    <t>Total</t>
  </si>
  <si>
    <t>NO</t>
  </si>
  <si>
    <t>kt CH4</t>
  </si>
  <si>
    <t>kt N2O</t>
  </si>
  <si>
    <t xml:space="preserve">% change </t>
  </si>
  <si>
    <t>National Total ETS</t>
  </si>
  <si>
    <t>NON-ETS</t>
  </si>
  <si>
    <t>National Total - ETS</t>
  </si>
  <si>
    <t>% change 2018-2025</t>
  </si>
  <si>
    <t>Carbon Budget 1 used</t>
  </si>
  <si>
    <t>Carbon Budget 1 forecast</t>
  </si>
  <si>
    <t>Sector Ceilings 2021-2025</t>
  </si>
  <si>
    <t>Carbon Budget 2 used</t>
  </si>
  <si>
    <t>Sector Ceilings 2026-2030</t>
  </si>
  <si>
    <t>Sector</t>
  </si>
  <si>
    <t>baseyear 2018</t>
  </si>
  <si>
    <r>
      <t>Total Budget (Mt CO</t>
    </r>
    <r>
      <rPr>
        <b/>
        <vertAlign val="subscript"/>
        <sz val="11"/>
        <rFont val="Aptos Narrow"/>
        <family val="2"/>
        <scheme val="minor"/>
      </rPr>
      <t>2</t>
    </r>
    <r>
      <rPr>
        <b/>
        <sz val="11"/>
        <rFont val="Aptos Narrow"/>
        <family val="2"/>
        <scheme val="minor"/>
      </rPr>
      <t xml:space="preserve"> eq)</t>
    </r>
  </si>
  <si>
    <t>% Budget used</t>
  </si>
  <si>
    <t>2018-2025</t>
  </si>
  <si>
    <t>Carbon Budget 1</t>
  </si>
  <si>
    <t>Carbon Budget 2</t>
  </si>
  <si>
    <t>Electricity</t>
  </si>
  <si>
    <t>kt CO2 equivalent</t>
  </si>
  <si>
    <t>Mt CO2 eq</t>
  </si>
  <si>
    <t>Buildings (Residential)</t>
  </si>
  <si>
    <t>Buildings (Commercial and Public)</t>
  </si>
  <si>
    <t>Industry</t>
  </si>
  <si>
    <t>Other</t>
  </si>
  <si>
    <t>LULUCF</t>
  </si>
  <si>
    <t>Total including LULUCF</t>
  </si>
  <si>
    <r>
      <t>Carbon Budget 1 -295 Mt CO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eq</t>
    </r>
  </si>
  <si>
    <t>2021-2025 GHG emissions</t>
  </si>
  <si>
    <t>Budget used</t>
  </si>
  <si>
    <t>Budget</t>
  </si>
  <si>
    <t>percentage used</t>
  </si>
  <si>
    <t>Remaining</t>
  </si>
  <si>
    <t>Req'd AAR</t>
  </si>
  <si>
    <t>Remaining Carbon Budget</t>
  </si>
  <si>
    <t>% change from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</si>
</sst>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0.0000"/>
    <numFmt numFmtId="168" formatCode="_-* #,##0.000_-;\-* #,##0.000_-;_-* &quot;-&quot;??_-;_-@_-"/>
    <numFmt numFmtId="169" formatCode="0.0000%"/>
    <numFmt numFmtId="170" formatCode="0.00000"/>
    <numFmt numFmtId="171" formatCode="0.000000000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i/>
      <sz val="9"/>
      <name val="Times New Roman"/>
      <family val="1"/>
    </font>
    <font>
      <b/>
      <sz val="11"/>
      <color rgb="FFFF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vertAlign val="subscript"/>
      <sz val="11"/>
      <name val="Aptos Narrow"/>
      <family val="2"/>
      <scheme val="minor"/>
    </font>
    <font>
      <sz val="10"/>
      <name val="Arial"/>
    </font>
    <font>
      <sz val="11"/>
      <color rgb="FF000000"/>
      <name val="Calibri"/>
      <family val="2"/>
    </font>
    <font>
      <sz val="11"/>
      <name val="Arial"/>
      <family val="2"/>
    </font>
    <font>
      <sz val="11"/>
      <color rgb="FFFF0000"/>
      <name val="Calibri"/>
      <family val="2"/>
    </font>
    <font>
      <vertAlign val="subscript"/>
      <sz val="11"/>
      <name val="Aptos Narrow"/>
      <family val="2"/>
      <scheme val="minor"/>
    </font>
    <font>
      <i/>
      <sz val="1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BF8F00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FF8989"/>
        <bgColor rgb="FF000000"/>
      </patternFill>
    </fill>
    <fill>
      <patternFill patternType="solid">
        <fgColor rgb="FFBC8FDD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0B4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2" fillId="0" borderId="0"/>
    <xf numFmtId="9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27">
    <xf numFmtId="0" fontId="0" fillId="0" borderId="0" xfId="0"/>
    <xf numFmtId="0" fontId="4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3" borderId="0" xfId="1" applyFont="1" applyFill="1" applyAlignment="1">
      <alignment horizontal="center"/>
    </xf>
    <xf numFmtId="0" fontId="5" fillId="0" borderId="0" xfId="1" applyFont="1"/>
    <xf numFmtId="0" fontId="5" fillId="3" borderId="0" xfId="1" applyFont="1" applyFill="1"/>
    <xf numFmtId="2" fontId="5" fillId="3" borderId="0" xfId="1" applyNumberFormat="1" applyFont="1" applyFill="1" applyAlignment="1">
      <alignment horizontal="right"/>
    </xf>
    <xf numFmtId="164" fontId="4" fillId="3" borderId="0" xfId="1" applyNumberFormat="1" applyFont="1" applyFill="1" applyAlignment="1">
      <alignment horizontal="center"/>
    </xf>
    <xf numFmtId="164" fontId="5" fillId="0" borderId="0" xfId="2" applyNumberFormat="1" applyFont="1"/>
    <xf numFmtId="164" fontId="4" fillId="3" borderId="0" xfId="1" applyNumberFormat="1" applyFont="1" applyFill="1" applyAlignment="1">
      <alignment horizontal="right"/>
    </xf>
    <xf numFmtId="2" fontId="4" fillId="3" borderId="0" xfId="1" applyNumberFormat="1" applyFont="1" applyFill="1"/>
    <xf numFmtId="0" fontId="5" fillId="4" borderId="0" xfId="1" applyFont="1" applyFill="1" applyAlignment="1">
      <alignment horizontal="left" indent="1"/>
    </xf>
    <xf numFmtId="2" fontId="5" fillId="4" borderId="0" xfId="1" applyNumberFormat="1" applyFont="1" applyFill="1" applyAlignment="1">
      <alignment horizontal="right"/>
    </xf>
    <xf numFmtId="164" fontId="5" fillId="4" borderId="0" xfId="1" applyNumberFormat="1" applyFont="1" applyFill="1" applyAlignment="1">
      <alignment horizontal="center"/>
    </xf>
    <xf numFmtId="164" fontId="5" fillId="4" borderId="0" xfId="1" applyNumberFormat="1" applyFont="1" applyFill="1" applyAlignment="1">
      <alignment horizontal="right"/>
    </xf>
    <xf numFmtId="2" fontId="5" fillId="4" borderId="0" xfId="1" applyNumberFormat="1" applyFont="1" applyFill="1"/>
    <xf numFmtId="164" fontId="5" fillId="4" borderId="0" xfId="2" applyNumberFormat="1" applyFont="1" applyFill="1" applyAlignment="1">
      <alignment horizontal="center"/>
    </xf>
    <xf numFmtId="165" fontId="5" fillId="0" borderId="0" xfId="1" applyNumberFormat="1" applyFont="1"/>
    <xf numFmtId="0" fontId="5" fillId="3" borderId="0" xfId="1" applyFont="1" applyFill="1" applyAlignment="1">
      <alignment horizontal="left"/>
    </xf>
    <xf numFmtId="9" fontId="5" fillId="0" borderId="0" xfId="2" applyFont="1"/>
    <xf numFmtId="166" fontId="5" fillId="3" borderId="0" xfId="1" applyNumberFormat="1" applyFont="1" applyFill="1" applyAlignment="1">
      <alignment horizontal="right"/>
    </xf>
    <xf numFmtId="2" fontId="5" fillId="0" borderId="0" xfId="1" applyNumberFormat="1" applyFont="1"/>
    <xf numFmtId="2" fontId="2" fillId="3" borderId="0" xfId="1" applyNumberFormat="1" applyFont="1" applyFill="1" applyAlignment="1">
      <alignment horizontal="right"/>
    </xf>
    <xf numFmtId="2" fontId="2" fillId="4" borderId="0" xfId="1" applyNumberFormat="1" applyFont="1" applyFill="1" applyAlignment="1">
      <alignment horizontal="right"/>
    </xf>
    <xf numFmtId="2" fontId="5" fillId="0" borderId="0" xfId="1" applyNumberFormat="1" applyFont="1" applyAlignment="1">
      <alignment horizontal="right"/>
    </xf>
    <xf numFmtId="10" fontId="5" fillId="0" borderId="0" xfId="1" applyNumberFormat="1" applyFont="1" applyAlignment="1">
      <alignment horizontal="righ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4" fillId="3" borderId="0" xfId="1" applyFont="1" applyFill="1" applyAlignment="1">
      <alignment horizontal="left"/>
    </xf>
    <xf numFmtId="2" fontId="8" fillId="0" borderId="0" xfId="1" applyNumberFormat="1" applyFont="1"/>
    <xf numFmtId="164" fontId="5" fillId="0" borderId="0" xfId="2" applyNumberFormat="1" applyFont="1" applyAlignment="1">
      <alignment horizontal="right"/>
    </xf>
    <xf numFmtId="10" fontId="5" fillId="0" borderId="0" xfId="2" applyNumberFormat="1" applyFont="1"/>
    <xf numFmtId="166" fontId="5" fillId="4" borderId="0" xfId="1" applyNumberFormat="1" applyFont="1" applyFill="1"/>
    <xf numFmtId="166" fontId="5" fillId="0" borderId="0" xfId="1" applyNumberFormat="1" applyFont="1"/>
    <xf numFmtId="0" fontId="6" fillId="0" borderId="0" xfId="1" applyFont="1" applyAlignment="1">
      <alignment vertical="center" wrapText="1"/>
    </xf>
    <xf numFmtId="167" fontId="2" fillId="0" borderId="0" xfId="1" applyNumberFormat="1" applyFont="1"/>
    <xf numFmtId="0" fontId="4" fillId="0" borderId="0" xfId="1" applyFont="1"/>
    <xf numFmtId="2" fontId="4" fillId="0" borderId="0" xfId="1" applyNumberFormat="1" applyFont="1"/>
    <xf numFmtId="0" fontId="4" fillId="0" borderId="0" xfId="1" applyFont="1" applyAlignment="1">
      <alignment horizontal="center"/>
    </xf>
    <xf numFmtId="4" fontId="5" fillId="0" borderId="0" xfId="1" applyNumberFormat="1" applyFont="1"/>
    <xf numFmtId="164" fontId="5" fillId="0" borderId="0" xfId="1" applyNumberFormat="1" applyFont="1"/>
    <xf numFmtId="10" fontId="5" fillId="0" borderId="0" xfId="1" applyNumberFormat="1" applyFont="1"/>
    <xf numFmtId="0" fontId="4" fillId="2" borderId="0" xfId="3" applyFont="1" applyFill="1" applyAlignment="1">
      <alignment horizontal="center"/>
    </xf>
    <xf numFmtId="0" fontId="4" fillId="3" borderId="0" xfId="3" applyFont="1" applyFill="1" applyAlignment="1">
      <alignment horizontal="center" wrapText="1"/>
    </xf>
    <xf numFmtId="0" fontId="4" fillId="0" borderId="0" xfId="3" applyFont="1" applyAlignment="1">
      <alignment horizontal="center" wrapText="1"/>
    </xf>
    <xf numFmtId="0" fontId="4" fillId="3" borderId="0" xfId="3" applyFont="1" applyFill="1" applyAlignment="1">
      <alignment horizontal="center"/>
    </xf>
    <xf numFmtId="0" fontId="5" fillId="0" borderId="0" xfId="3" applyFont="1"/>
    <xf numFmtId="0" fontId="5" fillId="3" borderId="0" xfId="3" applyFont="1" applyFill="1"/>
    <xf numFmtId="2" fontId="5" fillId="3" borderId="0" xfId="3" applyNumberFormat="1" applyFont="1" applyFill="1" applyAlignment="1">
      <alignment horizontal="right"/>
    </xf>
    <xf numFmtId="0" fontId="5" fillId="4" borderId="0" xfId="3" applyFont="1" applyFill="1" applyAlignment="1">
      <alignment horizontal="left" indent="1"/>
    </xf>
    <xf numFmtId="2" fontId="5" fillId="4" borderId="0" xfId="3" applyNumberFormat="1" applyFont="1" applyFill="1" applyAlignment="1">
      <alignment horizontal="right"/>
    </xf>
    <xf numFmtId="0" fontId="5" fillId="3" borderId="0" xfId="3" applyFont="1" applyFill="1" applyAlignment="1">
      <alignment horizontal="left"/>
    </xf>
    <xf numFmtId="2" fontId="5" fillId="0" borderId="0" xfId="3" applyNumberFormat="1" applyFont="1"/>
    <xf numFmtId="164" fontId="4" fillId="0" borderId="0" xfId="1" applyNumberFormat="1" applyFont="1" applyAlignment="1">
      <alignment horizontal="right"/>
    </xf>
    <xf numFmtId="0" fontId="5" fillId="0" borderId="0" xfId="3" applyFont="1" applyAlignment="1">
      <alignment horizontal="left"/>
    </xf>
    <xf numFmtId="0" fontId="5" fillId="0" borderId="0" xfId="3" applyFont="1" applyAlignment="1">
      <alignment horizontal="left" indent="1"/>
    </xf>
    <xf numFmtId="2" fontId="5" fillId="0" borderId="0" xfId="3" applyNumberFormat="1" applyFont="1" applyAlignment="1">
      <alignment horizontal="right"/>
    </xf>
    <xf numFmtId="164" fontId="5" fillId="0" borderId="0" xfId="2" applyNumberFormat="1" applyFont="1" applyFill="1" applyAlignment="1">
      <alignment horizontal="right"/>
    </xf>
    <xf numFmtId="0" fontId="4" fillId="3" borderId="0" xfId="3" applyFont="1" applyFill="1" applyAlignment="1">
      <alignment horizontal="left"/>
    </xf>
    <xf numFmtId="2" fontId="4" fillId="3" borderId="0" xfId="3" applyNumberFormat="1" applyFont="1" applyFill="1"/>
    <xf numFmtId="166" fontId="5" fillId="0" borderId="0" xfId="3" applyNumberFormat="1" applyFont="1" applyAlignment="1">
      <alignment horizontal="right"/>
    </xf>
    <xf numFmtId="2" fontId="9" fillId="0" borderId="0" xfId="3" applyNumberFormat="1" applyFont="1" applyAlignment="1">
      <alignment horizontal="right"/>
    </xf>
    <xf numFmtId="167" fontId="5" fillId="0" borderId="0" xfId="3" applyNumberFormat="1" applyFont="1"/>
    <xf numFmtId="43" fontId="2" fillId="0" borderId="0" xfId="3" applyNumberFormat="1" applyFont="1"/>
    <xf numFmtId="166" fontId="5" fillId="0" borderId="0" xfId="3" applyNumberFormat="1" applyFont="1"/>
    <xf numFmtId="164" fontId="5" fillId="0" borderId="0" xfId="2" applyNumberFormat="1" applyFont="1" applyFill="1"/>
    <xf numFmtId="9" fontId="5" fillId="0" borderId="0" xfId="2" applyFont="1" applyFill="1"/>
    <xf numFmtId="43" fontId="5" fillId="4" borderId="0" xfId="3" applyNumberFormat="1" applyFont="1" applyFill="1" applyAlignment="1">
      <alignment horizontal="right"/>
    </xf>
    <xf numFmtId="0" fontId="4" fillId="2" borderId="0" xfId="4" applyFont="1" applyFill="1" applyAlignment="1">
      <alignment horizontal="center" wrapText="1"/>
    </xf>
    <xf numFmtId="0" fontId="4" fillId="0" borderId="0" xfId="4" applyFont="1" applyAlignment="1">
      <alignment horizontal="center" wrapText="1"/>
    </xf>
    <xf numFmtId="0" fontId="1" fillId="0" borderId="0" xfId="4"/>
    <xf numFmtId="0" fontId="5" fillId="2" borderId="0" xfId="4" applyFont="1" applyFill="1" applyAlignment="1">
      <alignment horizontal="left" wrapText="1"/>
    </xf>
    <xf numFmtId="2" fontId="4" fillId="2" borderId="0" xfId="4" applyNumberFormat="1" applyFont="1" applyFill="1" applyAlignment="1">
      <alignment horizontal="right" wrapText="1"/>
    </xf>
    <xf numFmtId="2" fontId="5" fillId="2" borderId="0" xfId="4" applyNumberFormat="1" applyFont="1" applyFill="1" applyAlignment="1">
      <alignment horizontal="right" wrapText="1"/>
    </xf>
    <xf numFmtId="2" fontId="5" fillId="0" borderId="0" xfId="4" applyNumberFormat="1" applyFont="1" applyAlignment="1">
      <alignment horizontal="right" wrapText="1"/>
    </xf>
    <xf numFmtId="164" fontId="5" fillId="2" borderId="0" xfId="2" applyNumberFormat="1" applyFont="1" applyFill="1" applyAlignment="1">
      <alignment horizontal="right" wrapText="1"/>
    </xf>
    <xf numFmtId="0" fontId="5" fillId="4" borderId="0" xfId="4" applyFont="1" applyFill="1" applyAlignment="1">
      <alignment horizontal="left" indent="1"/>
    </xf>
    <xf numFmtId="2" fontId="5" fillId="4" borderId="0" xfId="4" applyNumberFormat="1" applyFont="1" applyFill="1" applyAlignment="1">
      <alignment horizontal="right"/>
    </xf>
    <xf numFmtId="2" fontId="5" fillId="0" borderId="0" xfId="4" applyNumberFormat="1" applyFont="1" applyAlignment="1">
      <alignment horizontal="right"/>
    </xf>
    <xf numFmtId="164" fontId="5" fillId="4" borderId="0" xfId="2" applyNumberFormat="1" applyFont="1" applyFill="1" applyAlignment="1">
      <alignment horizontal="right"/>
    </xf>
    <xf numFmtId="0" fontId="5" fillId="3" borderId="0" xfId="4" applyFont="1" applyFill="1" applyAlignment="1">
      <alignment horizontal="left"/>
    </xf>
    <xf numFmtId="2" fontId="5" fillId="3" borderId="0" xfId="4" applyNumberFormat="1" applyFont="1" applyFill="1" applyAlignment="1">
      <alignment horizontal="right"/>
    </xf>
    <xf numFmtId="164" fontId="5" fillId="3" borderId="0" xfId="2" applyNumberFormat="1" applyFont="1" applyFill="1" applyAlignment="1">
      <alignment horizontal="right"/>
    </xf>
    <xf numFmtId="2" fontId="5" fillId="3" borderId="0" xfId="5" applyNumberFormat="1" applyFont="1" applyFill="1" applyAlignment="1">
      <alignment horizontal="right"/>
    </xf>
    <xf numFmtId="2" fontId="1" fillId="0" borderId="0" xfId="4" applyNumberFormat="1"/>
    <xf numFmtId="0" fontId="5" fillId="0" borderId="0" xfId="4" applyFont="1" applyAlignment="1">
      <alignment horizontal="left"/>
    </xf>
    <xf numFmtId="0" fontId="5" fillId="0" borderId="0" xfId="4" applyFont="1" applyAlignment="1">
      <alignment horizontal="left" indent="1"/>
    </xf>
    <xf numFmtId="2" fontId="1" fillId="0" borderId="0" xfId="4" applyNumberFormat="1" applyAlignment="1">
      <alignment horizontal="right"/>
    </xf>
    <xf numFmtId="0" fontId="4" fillId="3" borderId="0" xfId="4" applyFont="1" applyFill="1" applyAlignment="1">
      <alignment horizontal="left"/>
    </xf>
    <xf numFmtId="2" fontId="4" fillId="3" borderId="0" xfId="4" applyNumberFormat="1" applyFont="1" applyFill="1" applyAlignment="1">
      <alignment horizontal="right"/>
    </xf>
    <xf numFmtId="2" fontId="4" fillId="0" borderId="0" xfId="4" applyNumberFormat="1" applyFont="1" applyAlignment="1">
      <alignment horizontal="right"/>
    </xf>
    <xf numFmtId="43" fontId="1" fillId="0" borderId="0" xfId="4" applyNumberFormat="1"/>
    <xf numFmtId="0" fontId="10" fillId="0" borderId="0" xfId="4" applyFont="1"/>
    <xf numFmtId="43" fontId="2" fillId="0" borderId="0" xfId="6" applyNumberFormat="1" applyFont="1"/>
    <xf numFmtId="0" fontId="4" fillId="2" borderId="0" xfId="4" applyFont="1" applyFill="1" applyAlignment="1">
      <alignment horizontal="left" wrapText="1"/>
    </xf>
    <xf numFmtId="2" fontId="5" fillId="4" borderId="0" xfId="4" applyNumberFormat="1" applyFont="1" applyFill="1" applyAlignment="1">
      <alignment horizontal="right" wrapText="1"/>
    </xf>
    <xf numFmtId="164" fontId="5" fillId="4" borderId="0" xfId="2" applyNumberFormat="1" applyFont="1" applyFill="1" applyAlignment="1">
      <alignment horizontal="right" wrapText="1"/>
    </xf>
    <xf numFmtId="164" fontId="5" fillId="0" borderId="0" xfId="2" applyNumberFormat="1" applyFont="1" applyFill="1" applyAlignment="1">
      <alignment horizontal="right" wrapText="1"/>
    </xf>
    <xf numFmtId="164" fontId="4" fillId="2" borderId="0" xfId="2" applyNumberFormat="1" applyFont="1" applyFill="1" applyAlignment="1">
      <alignment horizontal="right" wrapText="1"/>
    </xf>
    <xf numFmtId="0" fontId="5" fillId="5" borderId="1" xfId="1" applyFont="1" applyFill="1" applyBorder="1"/>
    <xf numFmtId="0" fontId="4" fillId="5" borderId="2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/>
    </xf>
    <xf numFmtId="0" fontId="8" fillId="5" borderId="2" xfId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5" fillId="0" borderId="1" xfId="1" applyFont="1" applyBorder="1"/>
    <xf numFmtId="0" fontId="4" fillId="0" borderId="1" xfId="1" applyFont="1" applyBorder="1" applyAlignment="1">
      <alignment horizontal="center" wrapText="1"/>
    </xf>
    <xf numFmtId="0" fontId="8" fillId="5" borderId="1" xfId="1" applyFont="1" applyFill="1" applyBorder="1" applyAlignment="1">
      <alignment horizontal="center" wrapText="1"/>
    </xf>
    <xf numFmtId="0" fontId="4" fillId="4" borderId="0" xfId="1" applyFont="1" applyFill="1" applyAlignment="1">
      <alignment horizontal="center"/>
    </xf>
    <xf numFmtId="0" fontId="4" fillId="0" borderId="0" xfId="1" applyFont="1" applyAlignment="1">
      <alignment wrapText="1"/>
    </xf>
    <xf numFmtId="0" fontId="4" fillId="0" borderId="1" xfId="1" applyFont="1" applyBorder="1" applyAlignment="1">
      <alignment wrapText="1"/>
    </xf>
    <xf numFmtId="0" fontId="4" fillId="0" borderId="1" xfId="1" applyFont="1" applyBorder="1"/>
    <xf numFmtId="0" fontId="5" fillId="5" borderId="0" xfId="1" applyFont="1" applyFill="1"/>
    <xf numFmtId="0" fontId="4" fillId="5" borderId="3" xfId="1" applyFont="1" applyFill="1" applyBorder="1" applyAlignment="1">
      <alignment horizontal="center"/>
    </xf>
    <xf numFmtId="0" fontId="4" fillId="5" borderId="0" xfId="1" applyFont="1" applyFill="1" applyAlignment="1">
      <alignment horizontal="center"/>
    </xf>
    <xf numFmtId="0" fontId="8" fillId="0" borderId="0" xfId="1" applyFont="1" applyAlignment="1">
      <alignment horizontal="center"/>
    </xf>
    <xf numFmtId="0" fontId="4" fillId="5" borderId="0" xfId="1" applyFont="1" applyFill="1" applyAlignment="1">
      <alignment horizontal="center" wrapText="1"/>
    </xf>
    <xf numFmtId="0" fontId="13" fillId="0" borderId="0" xfId="1" applyFont="1"/>
    <xf numFmtId="166" fontId="4" fillId="0" borderId="0" xfId="1" applyNumberFormat="1" applyFont="1"/>
    <xf numFmtId="10" fontId="8" fillId="0" borderId="0" xfId="2" applyNumberFormat="1" applyFont="1"/>
    <xf numFmtId="0" fontId="4" fillId="5" borderId="0" xfId="1" applyFont="1" applyFill="1"/>
    <xf numFmtId="0" fontId="5" fillId="5" borderId="3" xfId="1" applyFont="1" applyFill="1" applyBorder="1"/>
    <xf numFmtId="0" fontId="8" fillId="5" borderId="0" xfId="1" applyFont="1" applyFill="1" applyAlignment="1">
      <alignment horizontal="center"/>
    </xf>
    <xf numFmtId="0" fontId="8" fillId="5" borderId="5" xfId="1" applyFont="1" applyFill="1" applyBorder="1" applyAlignment="1">
      <alignment horizontal="center"/>
    </xf>
    <xf numFmtId="0" fontId="14" fillId="0" borderId="0" xfId="1" applyFont="1"/>
    <xf numFmtId="0" fontId="13" fillId="6" borderId="0" xfId="1" applyFont="1" applyFill="1"/>
    <xf numFmtId="2" fontId="13" fillId="6" borderId="3" xfId="1" applyNumberFormat="1" applyFont="1" applyFill="1" applyBorder="1"/>
    <xf numFmtId="2" fontId="13" fillId="6" borderId="0" xfId="1" applyNumberFormat="1" applyFont="1" applyFill="1"/>
    <xf numFmtId="2" fontId="13" fillId="0" borderId="0" xfId="1" applyNumberFormat="1" applyFont="1"/>
    <xf numFmtId="164" fontId="13" fillId="6" borderId="0" xfId="2" applyNumberFormat="1" applyFont="1" applyFill="1"/>
    <xf numFmtId="10" fontId="4" fillId="0" borderId="0" xfId="2" applyNumberFormat="1" applyFont="1"/>
    <xf numFmtId="0" fontId="13" fillId="4" borderId="0" xfId="1" applyFont="1" applyFill="1" applyAlignment="1">
      <alignment horizontal="left" indent="1"/>
    </xf>
    <xf numFmtId="2" fontId="5" fillId="4" borderId="3" xfId="1" applyNumberFormat="1" applyFont="1" applyFill="1" applyBorder="1" applyAlignment="1">
      <alignment horizontal="right"/>
    </xf>
    <xf numFmtId="2" fontId="13" fillId="4" borderId="0" xfId="1" applyNumberFormat="1" applyFont="1" applyFill="1" applyAlignment="1">
      <alignment horizontal="left" indent="1"/>
    </xf>
    <xf numFmtId="2" fontId="13" fillId="0" borderId="0" xfId="1" applyNumberFormat="1" applyFont="1" applyAlignment="1">
      <alignment horizontal="left" indent="1"/>
    </xf>
    <xf numFmtId="0" fontId="13" fillId="7" borderId="0" xfId="1" applyFont="1" applyFill="1"/>
    <xf numFmtId="2" fontId="13" fillId="7" borderId="3" xfId="7" applyNumberFormat="1" applyFont="1" applyFill="1" applyBorder="1" applyAlignment="1">
      <alignment horizontal="right"/>
    </xf>
    <xf numFmtId="2" fontId="13" fillId="7" borderId="0" xfId="7" applyNumberFormat="1" applyFont="1" applyFill="1" applyAlignment="1">
      <alignment horizontal="right"/>
    </xf>
    <xf numFmtId="2" fontId="13" fillId="0" borderId="0" xfId="7" applyNumberFormat="1" applyFont="1" applyFill="1" applyBorder="1" applyAlignment="1">
      <alignment horizontal="right"/>
    </xf>
    <xf numFmtId="164" fontId="13" fillId="7" borderId="0" xfId="2" applyNumberFormat="1" applyFont="1" applyFill="1" applyAlignment="1">
      <alignment horizontal="right"/>
    </xf>
    <xf numFmtId="2" fontId="13" fillId="0" borderId="0" xfId="7" applyNumberFormat="1" applyFont="1" applyFill="1" applyAlignment="1">
      <alignment horizontal="right"/>
    </xf>
    <xf numFmtId="2" fontId="13" fillId="7" borderId="0" xfId="7" applyNumberFormat="1" applyFont="1" applyFill="1" applyBorder="1" applyAlignment="1">
      <alignment horizontal="right"/>
    </xf>
    <xf numFmtId="164" fontId="13" fillId="8" borderId="0" xfId="2" applyNumberFormat="1" applyFont="1" applyFill="1"/>
    <xf numFmtId="2" fontId="13" fillId="7" borderId="0" xfId="1" applyNumberFormat="1" applyFont="1" applyFill="1"/>
    <xf numFmtId="166" fontId="2" fillId="4" borderId="0" xfId="1" applyNumberFormat="1" applyFont="1" applyFill="1"/>
    <xf numFmtId="166" fontId="4" fillId="4" borderId="0" xfId="1" applyNumberFormat="1" applyFont="1" applyFill="1"/>
    <xf numFmtId="164" fontId="4" fillId="0" borderId="0" xfId="2" applyNumberFormat="1" applyFont="1"/>
    <xf numFmtId="0" fontId="13" fillId="9" borderId="0" xfId="1" applyFont="1" applyFill="1"/>
    <xf numFmtId="2" fontId="13" fillId="9" borderId="3" xfId="1" applyNumberFormat="1" applyFont="1" applyFill="1" applyBorder="1" applyAlignment="1">
      <alignment horizontal="right"/>
    </xf>
    <xf numFmtId="2" fontId="13" fillId="9" borderId="0" xfId="1" applyNumberFormat="1" applyFont="1" applyFill="1" applyAlignment="1">
      <alignment horizontal="right"/>
    </xf>
    <xf numFmtId="2" fontId="13" fillId="0" borderId="0" xfId="1" applyNumberFormat="1" applyFont="1" applyAlignment="1">
      <alignment horizontal="right"/>
    </xf>
    <xf numFmtId="164" fontId="13" fillId="9" borderId="0" xfId="2" applyNumberFormat="1" applyFont="1" applyFill="1" applyAlignment="1">
      <alignment horizontal="right"/>
    </xf>
    <xf numFmtId="164" fontId="13" fillId="9" borderId="0" xfId="2" applyNumberFormat="1" applyFont="1" applyFill="1"/>
    <xf numFmtId="2" fontId="13" fillId="9" borderId="0" xfId="1" applyNumberFormat="1" applyFont="1" applyFill="1"/>
    <xf numFmtId="0" fontId="13" fillId="10" borderId="0" xfId="1" applyFont="1" applyFill="1"/>
    <xf numFmtId="2" fontId="13" fillId="10" borderId="3" xfId="1" applyNumberFormat="1" applyFont="1" applyFill="1" applyBorder="1" applyAlignment="1">
      <alignment horizontal="right"/>
    </xf>
    <xf numFmtId="2" fontId="13" fillId="10" borderId="0" xfId="1" applyNumberFormat="1" applyFont="1" applyFill="1" applyAlignment="1">
      <alignment horizontal="right"/>
    </xf>
    <xf numFmtId="164" fontId="13" fillId="10" borderId="0" xfId="2" applyNumberFormat="1" applyFont="1" applyFill="1" applyAlignment="1">
      <alignment horizontal="right"/>
    </xf>
    <xf numFmtId="164" fontId="13" fillId="10" borderId="0" xfId="2" applyNumberFormat="1" applyFont="1" applyFill="1"/>
    <xf numFmtId="2" fontId="13" fillId="10" borderId="0" xfId="1" applyNumberFormat="1" applyFont="1" applyFill="1"/>
    <xf numFmtId="0" fontId="13" fillId="11" borderId="0" xfId="1" applyFont="1" applyFill="1"/>
    <xf numFmtId="2" fontId="13" fillId="11" borderId="3" xfId="1" applyNumberFormat="1" applyFont="1" applyFill="1" applyBorder="1" applyAlignment="1">
      <alignment horizontal="right"/>
    </xf>
    <xf numFmtId="2" fontId="13" fillId="11" borderId="0" xfId="1" applyNumberFormat="1" applyFont="1" applyFill="1" applyAlignment="1">
      <alignment horizontal="right"/>
    </xf>
    <xf numFmtId="164" fontId="13" fillId="11" borderId="0" xfId="2" applyNumberFormat="1" applyFont="1" applyFill="1" applyAlignment="1">
      <alignment horizontal="right"/>
    </xf>
    <xf numFmtId="164" fontId="13" fillId="11" borderId="0" xfId="2" applyNumberFormat="1" applyFont="1" applyFill="1"/>
    <xf numFmtId="2" fontId="13" fillId="11" borderId="0" xfId="1" applyNumberFormat="1" applyFont="1" applyFill="1"/>
    <xf numFmtId="0" fontId="13" fillId="5" borderId="0" xfId="1" applyFont="1" applyFill="1" applyAlignment="1">
      <alignment horizontal="left" indent="1"/>
    </xf>
    <xf numFmtId="2" fontId="5" fillId="5" borderId="3" xfId="1" applyNumberFormat="1" applyFont="1" applyFill="1" applyBorder="1" applyAlignment="1">
      <alignment horizontal="right"/>
    </xf>
    <xf numFmtId="2" fontId="5" fillId="5" borderId="0" xfId="1" applyNumberFormat="1" applyFont="1" applyFill="1" applyAlignment="1">
      <alignment horizontal="right"/>
    </xf>
    <xf numFmtId="164" fontId="5" fillId="5" borderId="0" xfId="2" applyNumberFormat="1" applyFont="1" applyFill="1" applyAlignment="1">
      <alignment horizontal="right"/>
    </xf>
    <xf numFmtId="2" fontId="13" fillId="5" borderId="0" xfId="1" applyNumberFormat="1" applyFont="1" applyFill="1" applyAlignment="1">
      <alignment horizontal="left" indent="1"/>
    </xf>
    <xf numFmtId="0" fontId="13" fillId="4" borderId="0" xfId="1" applyFont="1" applyFill="1" applyAlignment="1">
      <alignment horizontal="left" indent="2"/>
    </xf>
    <xf numFmtId="2" fontId="13" fillId="4" borderId="0" xfId="1" applyNumberFormat="1" applyFont="1" applyFill="1" applyAlignment="1">
      <alignment horizontal="left" indent="2"/>
    </xf>
    <xf numFmtId="2" fontId="13" fillId="0" borderId="0" xfId="1" applyNumberFormat="1" applyFont="1" applyAlignment="1">
      <alignment horizontal="left" indent="2"/>
    </xf>
    <xf numFmtId="0" fontId="13" fillId="12" borderId="0" xfId="1" applyFont="1" applyFill="1"/>
    <xf numFmtId="2" fontId="13" fillId="12" borderId="3" xfId="1" applyNumberFormat="1" applyFont="1" applyFill="1" applyBorder="1" applyAlignment="1">
      <alignment horizontal="right"/>
    </xf>
    <xf numFmtId="2" fontId="13" fillId="12" borderId="0" xfId="1" applyNumberFormat="1" applyFont="1" applyFill="1" applyAlignment="1">
      <alignment horizontal="right"/>
    </xf>
    <xf numFmtId="164" fontId="13" fillId="12" borderId="0" xfId="2" applyNumberFormat="1" applyFont="1" applyFill="1" applyAlignment="1">
      <alignment horizontal="right"/>
    </xf>
    <xf numFmtId="164" fontId="13" fillId="12" borderId="0" xfId="2" applyNumberFormat="1" applyFont="1" applyFill="1"/>
    <xf numFmtId="2" fontId="13" fillId="12" borderId="0" xfId="1" applyNumberFormat="1" applyFont="1" applyFill="1"/>
    <xf numFmtId="0" fontId="13" fillId="13" borderId="0" xfId="1" applyFont="1" applyFill="1"/>
    <xf numFmtId="2" fontId="13" fillId="13" borderId="3" xfId="1" applyNumberFormat="1" applyFont="1" applyFill="1" applyBorder="1" applyAlignment="1">
      <alignment horizontal="right"/>
    </xf>
    <xf numFmtId="2" fontId="13" fillId="13" borderId="0" xfId="1" applyNumberFormat="1" applyFont="1" applyFill="1" applyAlignment="1">
      <alignment horizontal="right"/>
    </xf>
    <xf numFmtId="164" fontId="13" fillId="13" borderId="0" xfId="2" applyNumberFormat="1" applyFont="1" applyFill="1" applyAlignment="1">
      <alignment horizontal="right"/>
    </xf>
    <xf numFmtId="164" fontId="13" fillId="13" borderId="0" xfId="2" applyNumberFormat="1" applyFont="1" applyFill="1"/>
    <xf numFmtId="2" fontId="13" fillId="13" borderId="0" xfId="1" applyNumberFormat="1" applyFont="1" applyFill="1"/>
    <xf numFmtId="0" fontId="13" fillId="14" borderId="0" xfId="1" applyFont="1" applyFill="1" applyAlignment="1">
      <alignment horizontal="left" indent="1"/>
    </xf>
    <xf numFmtId="2" fontId="5" fillId="14" borderId="3" xfId="1" applyNumberFormat="1" applyFont="1" applyFill="1" applyBorder="1" applyAlignment="1">
      <alignment horizontal="right"/>
    </xf>
    <xf numFmtId="2" fontId="5" fillId="14" borderId="0" xfId="1" applyNumberFormat="1" applyFont="1" applyFill="1" applyAlignment="1">
      <alignment horizontal="right"/>
    </xf>
    <xf numFmtId="164" fontId="5" fillId="14" borderId="0" xfId="2" applyNumberFormat="1" applyFont="1" applyFill="1" applyAlignment="1">
      <alignment horizontal="right"/>
    </xf>
    <xf numFmtId="2" fontId="13" fillId="14" borderId="0" xfId="1" applyNumberFormat="1" applyFont="1" applyFill="1" applyAlignment="1">
      <alignment horizontal="left" indent="1"/>
    </xf>
    <xf numFmtId="0" fontId="13" fillId="15" borderId="0" xfId="1" applyFont="1" applyFill="1"/>
    <xf numFmtId="2" fontId="13" fillId="15" borderId="3" xfId="1" applyNumberFormat="1" applyFont="1" applyFill="1" applyBorder="1" applyAlignment="1">
      <alignment horizontal="right"/>
    </xf>
    <xf numFmtId="2" fontId="13" fillId="15" borderId="0" xfId="1" applyNumberFormat="1" applyFont="1" applyFill="1" applyAlignment="1">
      <alignment horizontal="right"/>
    </xf>
    <xf numFmtId="2" fontId="15" fillId="15" borderId="3" xfId="1" applyNumberFormat="1" applyFont="1" applyFill="1" applyBorder="1" applyAlignment="1">
      <alignment horizontal="right"/>
    </xf>
    <xf numFmtId="164" fontId="13" fillId="15" borderId="0" xfId="2" applyNumberFormat="1" applyFont="1" applyFill="1" applyAlignment="1">
      <alignment horizontal="right"/>
    </xf>
    <xf numFmtId="2" fontId="13" fillId="15" borderId="0" xfId="1" applyNumberFormat="1" applyFont="1" applyFill="1"/>
    <xf numFmtId="2" fontId="2" fillId="4" borderId="3" xfId="1" applyNumberFormat="1" applyFont="1" applyFill="1" applyBorder="1" applyAlignment="1">
      <alignment horizontal="right"/>
    </xf>
    <xf numFmtId="4" fontId="5" fillId="4" borderId="0" xfId="1" applyNumberFormat="1" applyFont="1" applyFill="1"/>
    <xf numFmtId="0" fontId="5" fillId="0" borderId="3" xfId="1" applyFont="1" applyBorder="1"/>
    <xf numFmtId="2" fontId="4" fillId="3" borderId="3" xfId="1" applyNumberFormat="1" applyFont="1" applyFill="1" applyBorder="1" applyAlignment="1">
      <alignment horizontal="right"/>
    </xf>
    <xf numFmtId="2" fontId="4" fillId="3" borderId="0" xfId="1" applyNumberFormat="1" applyFont="1" applyFill="1" applyAlignment="1">
      <alignment horizontal="right"/>
    </xf>
    <xf numFmtId="2" fontId="4" fillId="0" borderId="0" xfId="1" applyNumberFormat="1" applyFont="1" applyAlignment="1">
      <alignment horizontal="right"/>
    </xf>
    <xf numFmtId="164" fontId="4" fillId="3" borderId="0" xfId="2" applyNumberFormat="1" applyFont="1" applyFill="1" applyAlignment="1">
      <alignment horizontal="right"/>
    </xf>
    <xf numFmtId="164" fontId="4" fillId="0" borderId="0" xfId="2" applyNumberFormat="1" applyFont="1" applyFill="1" applyAlignment="1">
      <alignment horizontal="right"/>
    </xf>
    <xf numFmtId="0" fontId="10" fillId="0" borderId="0" xfId="1" applyFont="1"/>
    <xf numFmtId="43" fontId="10" fillId="0" borderId="0" xfId="1" applyNumberFormat="1" applyFont="1"/>
    <xf numFmtId="168" fontId="5" fillId="0" borderId="0" xfId="1" applyNumberFormat="1" applyFont="1"/>
    <xf numFmtId="169" fontId="5" fillId="0" borderId="0" xfId="2" applyNumberFormat="1" applyFont="1"/>
    <xf numFmtId="0" fontId="8" fillId="0" borderId="0" xfId="1" applyFont="1"/>
    <xf numFmtId="0" fontId="8" fillId="0" borderId="0" xfId="1" applyFont="1" applyAlignment="1">
      <alignment wrapText="1"/>
    </xf>
    <xf numFmtId="166" fontId="5" fillId="0" borderId="0" xfId="7" applyNumberFormat="1" applyFont="1"/>
    <xf numFmtId="170" fontId="10" fillId="0" borderId="0" xfId="1" applyNumberFormat="1" applyFont="1"/>
    <xf numFmtId="167" fontId="10" fillId="0" borderId="0" xfId="1" applyNumberFormat="1" applyFont="1"/>
    <xf numFmtId="170" fontId="5" fillId="0" borderId="0" xfId="1" applyNumberFormat="1" applyFont="1"/>
    <xf numFmtId="167" fontId="5" fillId="0" borderId="0" xfId="1" applyNumberFormat="1" applyFont="1"/>
    <xf numFmtId="170" fontId="17" fillId="0" borderId="0" xfId="1" applyNumberFormat="1" applyFont="1"/>
    <xf numFmtId="167" fontId="17" fillId="0" borderId="0" xfId="1" applyNumberFormat="1" applyFont="1"/>
    <xf numFmtId="43" fontId="5" fillId="0" borderId="0" xfId="1" applyNumberFormat="1" applyFont="1"/>
    <xf numFmtId="171" fontId="5" fillId="0" borderId="0" xfId="1" applyNumberFormat="1" applyFont="1"/>
    <xf numFmtId="0" fontId="3" fillId="0" borderId="0" xfId="4" applyFont="1"/>
    <xf numFmtId="0" fontId="4" fillId="5" borderId="2" xfId="1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/>
    </xf>
    <xf numFmtId="0" fontId="8" fillId="5" borderId="4" xfId="1" applyFont="1" applyFill="1" applyBorder="1" applyAlignment="1">
      <alignment horizontal="center"/>
    </xf>
  </cellXfs>
  <cellStyles count="8">
    <cellStyle name="Comma 2" xfId="7" xr:uid="{7B34820D-9520-4E76-9985-1FC8F3ADB33B}"/>
    <cellStyle name="Currency 2" xfId="6" xr:uid="{2D02220D-8F47-4FC5-9675-122A5FB58E09}"/>
    <cellStyle name="Normal" xfId="0" builtinId="0"/>
    <cellStyle name="Normal 2" xfId="1" xr:uid="{282CCED7-DC7F-49E5-9673-0199F5C4AE2C}"/>
    <cellStyle name="Normal 2 2" xfId="3" xr:uid="{D0F919F1-E4BE-420C-A1EA-EE90A2E721A9}"/>
    <cellStyle name="Normal 5" xfId="4" xr:uid="{3C3AB1B2-9ED7-4AFC-9154-B61BA756E354}"/>
    <cellStyle name="Normal 5 2 2" xfId="5" xr:uid="{C32A7B19-1800-4379-A011-B0B573F15A36}"/>
    <cellStyle name="Percent 2" xfId="2" xr:uid="{E9CD95D6-A5B0-4BBC-912B-37A1D665C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1990-2025 GHG'!$A$2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1990-2025 GHG'!$B$1:$AK$1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GHG'!$B$2:$AK$2</c:f>
              <c:numCache>
                <c:formatCode>0.00</c:formatCode>
                <c:ptCount val="36"/>
                <c:pt idx="0">
                  <c:v>11315.301005472866</c:v>
                </c:pt>
                <c:pt idx="1">
                  <c:v>11765.228522519617</c:v>
                </c:pt>
                <c:pt idx="2">
                  <c:v>12421.329934179974</c:v>
                </c:pt>
                <c:pt idx="3">
                  <c:v>12439.203148006565</c:v>
                </c:pt>
                <c:pt idx="4">
                  <c:v>12774.644178044819</c:v>
                </c:pt>
                <c:pt idx="5">
                  <c:v>13458.404690372941</c:v>
                </c:pt>
                <c:pt idx="6">
                  <c:v>14175.558808211925</c:v>
                </c:pt>
                <c:pt idx="7">
                  <c:v>14829.635122104486</c:v>
                </c:pt>
                <c:pt idx="8">
                  <c:v>15195.44996359741</c:v>
                </c:pt>
                <c:pt idx="9">
                  <c:v>15891.645103417151</c:v>
                </c:pt>
                <c:pt idx="10">
                  <c:v>16168.629446525063</c:v>
                </c:pt>
                <c:pt idx="11">
                  <c:v>17455.607981275611</c:v>
                </c:pt>
                <c:pt idx="12">
                  <c:v>16457.932924800811</c:v>
                </c:pt>
                <c:pt idx="13">
                  <c:v>16510.314840322626</c:v>
                </c:pt>
                <c:pt idx="14">
                  <c:v>15379.178063121177</c:v>
                </c:pt>
                <c:pt idx="15">
                  <c:v>15863.207834359135</c:v>
                </c:pt>
                <c:pt idx="16">
                  <c:v>15119.001938303685</c:v>
                </c:pt>
                <c:pt idx="17">
                  <c:v>14630.132405644532</c:v>
                </c:pt>
                <c:pt idx="18">
                  <c:v>14741.793508870869</c:v>
                </c:pt>
                <c:pt idx="19">
                  <c:v>13150.097289462346</c:v>
                </c:pt>
                <c:pt idx="20">
                  <c:v>13412.340080309787</c:v>
                </c:pt>
                <c:pt idx="21">
                  <c:v>12014.354536453155</c:v>
                </c:pt>
                <c:pt idx="22">
                  <c:v>12856.144755758403</c:v>
                </c:pt>
                <c:pt idx="23">
                  <c:v>11494.357498067697</c:v>
                </c:pt>
                <c:pt idx="24">
                  <c:v>11335.656495350378</c:v>
                </c:pt>
                <c:pt idx="25">
                  <c:v>11898.441141706975</c:v>
                </c:pt>
                <c:pt idx="26">
                  <c:v>12620.594444558881</c:v>
                </c:pt>
                <c:pt idx="27">
                  <c:v>11809.839859021191</c:v>
                </c:pt>
                <c:pt idx="28">
                  <c:v>10485.923453256857</c:v>
                </c:pt>
                <c:pt idx="29">
                  <c:v>9235.802033265225</c:v>
                </c:pt>
                <c:pt idx="30">
                  <c:v>8589.7396329493185</c:v>
                </c:pt>
                <c:pt idx="31">
                  <c:v>10112.971298881808</c:v>
                </c:pt>
                <c:pt idx="32">
                  <c:v>9928.0675222253194</c:v>
                </c:pt>
                <c:pt idx="33">
                  <c:v>7784.4273652604943</c:v>
                </c:pt>
                <c:pt idx="34">
                  <c:v>7095.0796459024004</c:v>
                </c:pt>
                <c:pt idx="35">
                  <c:v>6589.555920844462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4-410F-8371-3B0B07185922}"/>
            </c:ext>
          </c:extLst>
        </c:ser>
        <c:ser>
          <c:idx val="1"/>
          <c:order val="1"/>
          <c:tx>
            <c:strRef>
              <c:f>'NEW Summary 1990-2025 GHG'!$A$7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1990-2025 GHG'!$B$1:$AK$1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GHG'!$B$7:$AK$7</c:f>
              <c:numCache>
                <c:formatCode>0.00</c:formatCode>
                <c:ptCount val="36"/>
                <c:pt idx="0">
                  <c:v>7569.7124798227551</c:v>
                </c:pt>
                <c:pt idx="1">
                  <c:v>7474.0514044750162</c:v>
                </c:pt>
                <c:pt idx="2">
                  <c:v>6677.7297275480641</c:v>
                </c:pt>
                <c:pt idx="3">
                  <c:v>6676.3113380345594</c:v>
                </c:pt>
                <c:pt idx="4">
                  <c:v>6579.3245874862178</c:v>
                </c:pt>
                <c:pt idx="5">
                  <c:v>6407.1463332892217</c:v>
                </c:pt>
                <c:pt idx="6">
                  <c:v>6768.3804271259223</c:v>
                </c:pt>
                <c:pt idx="7">
                  <c:v>6517.5882400729042</c:v>
                </c:pt>
                <c:pt idx="8">
                  <c:v>7096.3923746662886</c:v>
                </c:pt>
                <c:pt idx="9">
                  <c:v>6840.9270729627233</c:v>
                </c:pt>
                <c:pt idx="10">
                  <c:v>6943.6446449057967</c:v>
                </c:pt>
                <c:pt idx="11">
                  <c:v>7299.7801866056707</c:v>
                </c:pt>
                <c:pt idx="12">
                  <c:v>7316.6648236510082</c:v>
                </c:pt>
                <c:pt idx="13">
                  <c:v>7556.498080075311</c:v>
                </c:pt>
                <c:pt idx="14">
                  <c:v>7724.5242980131015</c:v>
                </c:pt>
                <c:pt idx="15">
                  <c:v>8164.2594411342361</c:v>
                </c:pt>
                <c:pt idx="16">
                  <c:v>8043.0575101418772</c:v>
                </c:pt>
                <c:pt idx="17">
                  <c:v>7882.2340853204023</c:v>
                </c:pt>
                <c:pt idx="18">
                  <c:v>8668.4881409021655</c:v>
                </c:pt>
                <c:pt idx="19">
                  <c:v>8544.9632131553935</c:v>
                </c:pt>
                <c:pt idx="20">
                  <c:v>8859.0804092545568</c:v>
                </c:pt>
                <c:pt idx="21">
                  <c:v>7629.7194176636076</c:v>
                </c:pt>
                <c:pt idx="22">
                  <c:v>7147.388466027287</c:v>
                </c:pt>
                <c:pt idx="23">
                  <c:v>6939.97722702997</c:v>
                </c:pt>
                <c:pt idx="24">
                  <c:v>6245.7821397262342</c:v>
                </c:pt>
                <c:pt idx="25">
                  <c:v>6641.2571316932199</c:v>
                </c:pt>
                <c:pt idx="26">
                  <c:v>6889.0510079993564</c:v>
                </c:pt>
                <c:pt idx="27">
                  <c:v>6331.1002822400478</c:v>
                </c:pt>
                <c:pt idx="28">
                  <c:v>6823.5957184152885</c:v>
                </c:pt>
                <c:pt idx="29">
                  <c:v>6546.4494481728379</c:v>
                </c:pt>
                <c:pt idx="30">
                  <c:v>7192.2701968693018</c:v>
                </c:pt>
                <c:pt idx="31">
                  <c:v>6709.3212480257052</c:v>
                </c:pt>
                <c:pt idx="32">
                  <c:v>5621.4616126785768</c:v>
                </c:pt>
                <c:pt idx="33">
                  <c:v>5230.0164671887314</c:v>
                </c:pt>
                <c:pt idx="34">
                  <c:v>5485.8889892812058</c:v>
                </c:pt>
                <c:pt idx="35">
                  <c:v>5211.7931715401201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B4-410F-8371-3B0B07185922}"/>
            </c:ext>
          </c:extLst>
        </c:ser>
        <c:ser>
          <c:idx val="2"/>
          <c:order val="2"/>
          <c:tx>
            <c:strRef>
              <c:f>'NEW Summary 1990-2025 GHG'!$A$8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1990-2025 GHG'!$B$1:$AK$1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GHG'!$B$8:$AK$8</c:f>
              <c:numCache>
                <c:formatCode>0.00</c:formatCode>
                <c:ptCount val="36"/>
                <c:pt idx="0">
                  <c:v>4093.5373960846191</c:v>
                </c:pt>
                <c:pt idx="1">
                  <c:v>4390.2661752826825</c:v>
                </c:pt>
                <c:pt idx="2">
                  <c:v>4068.9024982744181</c:v>
                </c:pt>
                <c:pt idx="3">
                  <c:v>4276.3611882099631</c:v>
                </c:pt>
                <c:pt idx="4">
                  <c:v>4544.7410305683798</c:v>
                </c:pt>
                <c:pt idx="5">
                  <c:v>4567.6209369101471</c:v>
                </c:pt>
                <c:pt idx="6">
                  <c:v>4410.5548738409234</c:v>
                </c:pt>
                <c:pt idx="7">
                  <c:v>4761.1518830549567</c:v>
                </c:pt>
                <c:pt idx="8">
                  <c:v>4740.5683505815678</c:v>
                </c:pt>
                <c:pt idx="9">
                  <c:v>4922.6505470164248</c:v>
                </c:pt>
                <c:pt idx="10">
                  <c:v>5706.0346076375372</c:v>
                </c:pt>
                <c:pt idx="11">
                  <c:v>5678.8909288540326</c:v>
                </c:pt>
                <c:pt idx="12">
                  <c:v>5345.234219032106</c:v>
                </c:pt>
                <c:pt idx="13">
                  <c:v>5459.8276375754558</c:v>
                </c:pt>
                <c:pt idx="14">
                  <c:v>5524.2452660336039</c:v>
                </c:pt>
                <c:pt idx="15">
                  <c:v>5652.9192042348277</c:v>
                </c:pt>
                <c:pt idx="16">
                  <c:v>5450.900864787136</c:v>
                </c:pt>
                <c:pt idx="17">
                  <c:v>5525.6226729565014</c:v>
                </c:pt>
                <c:pt idx="18">
                  <c:v>5352.3425940252482</c:v>
                </c:pt>
                <c:pt idx="19">
                  <c:v>4330.9930654254958</c:v>
                </c:pt>
                <c:pt idx="20">
                  <c:v>4272.9798997267435</c:v>
                </c:pt>
                <c:pt idx="21">
                  <c:v>3843.9909755188937</c:v>
                </c:pt>
                <c:pt idx="22">
                  <c:v>3924.9476373301859</c:v>
                </c:pt>
                <c:pt idx="23">
                  <c:v>4149.7139661441261</c:v>
                </c:pt>
                <c:pt idx="24">
                  <c:v>4211.6279635591736</c:v>
                </c:pt>
                <c:pt idx="25">
                  <c:v>4320.706141419867</c:v>
                </c:pt>
                <c:pt idx="26">
                  <c:v>4406.7527533536913</c:v>
                </c:pt>
                <c:pt idx="27">
                  <c:v>4636.1769070251567</c:v>
                </c:pt>
                <c:pt idx="28">
                  <c:v>4837.1599631103463</c:v>
                </c:pt>
                <c:pt idx="29">
                  <c:v>4763.1462956701844</c:v>
                </c:pt>
                <c:pt idx="30">
                  <c:v>4794.1880787963883</c:v>
                </c:pt>
                <c:pt idx="31">
                  <c:v>4786.3072277340525</c:v>
                </c:pt>
                <c:pt idx="32">
                  <c:v>4530.9243518203275</c:v>
                </c:pt>
                <c:pt idx="33">
                  <c:v>4324.6568372401462</c:v>
                </c:pt>
                <c:pt idx="34">
                  <c:v>4331.753387239256</c:v>
                </c:pt>
                <c:pt idx="35">
                  <c:v>4161.5709865235713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B4-410F-8371-3B0B07185922}"/>
            </c:ext>
          </c:extLst>
        </c:ser>
        <c:ser>
          <c:idx val="3"/>
          <c:order val="3"/>
          <c:tx>
            <c:strRef>
              <c:f>'NEW Summary 1990-2025 GHG'!$A$9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1990-2025 GHG'!$B$1:$AK$1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GHG'!$B$9:$AK$9</c:f>
              <c:numCache>
                <c:formatCode>0.00</c:formatCode>
                <c:ptCount val="36"/>
                <c:pt idx="0">
                  <c:v>1009.6756971444248</c:v>
                </c:pt>
                <c:pt idx="1">
                  <c:v>1028.1453889225793</c:v>
                </c:pt>
                <c:pt idx="2">
                  <c:v>1022.4598932800901</c:v>
                </c:pt>
                <c:pt idx="3">
                  <c:v>1010.1610259474754</c:v>
                </c:pt>
                <c:pt idx="4">
                  <c:v>1101.6563749788943</c:v>
                </c:pt>
                <c:pt idx="5">
                  <c:v>1080.3861575994138</c:v>
                </c:pt>
                <c:pt idx="6">
                  <c:v>975.88793579256696</c:v>
                </c:pt>
                <c:pt idx="7">
                  <c:v>984.03645698064906</c:v>
                </c:pt>
                <c:pt idx="8">
                  <c:v>970.80526341945574</c:v>
                </c:pt>
                <c:pt idx="9">
                  <c:v>1004.1844922672158</c:v>
                </c:pt>
                <c:pt idx="10">
                  <c:v>1030.0912977928751</c:v>
                </c:pt>
                <c:pt idx="11">
                  <c:v>1020.4485506437919</c:v>
                </c:pt>
                <c:pt idx="12">
                  <c:v>986.75159967082038</c:v>
                </c:pt>
                <c:pt idx="13">
                  <c:v>1084.8920482063729</c:v>
                </c:pt>
                <c:pt idx="14">
                  <c:v>1052.7720089768072</c:v>
                </c:pt>
                <c:pt idx="15">
                  <c:v>1086.2309481197588</c:v>
                </c:pt>
                <c:pt idx="16">
                  <c:v>1080.5986164769949</c:v>
                </c:pt>
                <c:pt idx="17">
                  <c:v>1078.8491031708149</c:v>
                </c:pt>
                <c:pt idx="18">
                  <c:v>1126.4374673820369</c:v>
                </c:pt>
                <c:pt idx="19">
                  <c:v>891.99000363457378</c:v>
                </c:pt>
                <c:pt idx="20">
                  <c:v>982.25936630354238</c:v>
                </c:pt>
                <c:pt idx="21">
                  <c:v>898.93502737574067</c:v>
                </c:pt>
                <c:pt idx="22">
                  <c:v>931.58463070840548</c:v>
                </c:pt>
                <c:pt idx="23">
                  <c:v>931.55148486663552</c:v>
                </c:pt>
                <c:pt idx="24">
                  <c:v>864.46357641129566</c:v>
                </c:pt>
                <c:pt idx="25">
                  <c:v>925.87527838334097</c:v>
                </c:pt>
                <c:pt idx="26">
                  <c:v>857.04580088734588</c:v>
                </c:pt>
                <c:pt idx="27">
                  <c:v>785.65500671807263</c:v>
                </c:pt>
                <c:pt idx="28">
                  <c:v>853.46547347410728</c:v>
                </c:pt>
                <c:pt idx="29">
                  <c:v>805.38696359395919</c:v>
                </c:pt>
                <c:pt idx="30">
                  <c:v>663.10327524697652</c:v>
                </c:pt>
                <c:pt idx="31">
                  <c:v>718.74908464701662</c:v>
                </c:pt>
                <c:pt idx="32">
                  <c:v>690.72072731145727</c:v>
                </c:pt>
                <c:pt idx="33">
                  <c:v>687.87744863098408</c:v>
                </c:pt>
                <c:pt idx="34">
                  <c:v>742.0728381079474</c:v>
                </c:pt>
                <c:pt idx="35">
                  <c:v>712.11390858710001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B4-410F-8371-3B0B07185922}"/>
            </c:ext>
          </c:extLst>
        </c:ser>
        <c:ser>
          <c:idx val="4"/>
          <c:order val="4"/>
          <c:tx>
            <c:strRef>
              <c:f>'NEW Summary 1990-2025 GHG'!$A$10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1990-2025 GHG'!$B$1:$AK$1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GHG'!$B$10:$AK$10</c:f>
              <c:numCache>
                <c:formatCode>0.00</c:formatCode>
                <c:ptCount val="36"/>
                <c:pt idx="0">
                  <c:v>1123.0310909969073</c:v>
                </c:pt>
                <c:pt idx="1">
                  <c:v>1095.8224261072294</c:v>
                </c:pt>
                <c:pt idx="2">
                  <c:v>1000.6883477082063</c:v>
                </c:pt>
                <c:pt idx="3">
                  <c:v>972.87066351775854</c:v>
                </c:pt>
                <c:pt idx="4">
                  <c:v>978.15194948481633</c:v>
                </c:pt>
                <c:pt idx="5">
                  <c:v>907.90664116874905</c:v>
                </c:pt>
                <c:pt idx="6">
                  <c:v>868.598526372077</c:v>
                </c:pt>
                <c:pt idx="7">
                  <c:v>821.10920498212943</c:v>
                </c:pt>
                <c:pt idx="8">
                  <c:v>770.58880806853858</c:v>
                </c:pt>
                <c:pt idx="9">
                  <c:v>796.53161704088768</c:v>
                </c:pt>
                <c:pt idx="10">
                  <c:v>842.4515085758037</c:v>
                </c:pt>
                <c:pt idx="11">
                  <c:v>809.28949189041646</c:v>
                </c:pt>
                <c:pt idx="12">
                  <c:v>751.2861150755532</c:v>
                </c:pt>
                <c:pt idx="13">
                  <c:v>709.6425909912889</c:v>
                </c:pt>
                <c:pt idx="14">
                  <c:v>660.04458675644912</c:v>
                </c:pt>
                <c:pt idx="15">
                  <c:v>652.46294480390372</c:v>
                </c:pt>
                <c:pt idx="16">
                  <c:v>628.45014163405415</c:v>
                </c:pt>
                <c:pt idx="17">
                  <c:v>591.83133326778204</c:v>
                </c:pt>
                <c:pt idx="18">
                  <c:v>591.12266295214692</c:v>
                </c:pt>
                <c:pt idx="19">
                  <c:v>494.04984817162602</c:v>
                </c:pt>
                <c:pt idx="20">
                  <c:v>519.87114526083337</c:v>
                </c:pt>
                <c:pt idx="21">
                  <c:v>470.63039680007523</c:v>
                </c:pt>
                <c:pt idx="22">
                  <c:v>505.31314848323638</c:v>
                </c:pt>
                <c:pt idx="23">
                  <c:v>574.69308205465143</c:v>
                </c:pt>
                <c:pt idx="24">
                  <c:v>580.32576656888057</c:v>
                </c:pt>
                <c:pt idx="25">
                  <c:v>604.99686446772591</c:v>
                </c:pt>
                <c:pt idx="26">
                  <c:v>627.63472592110838</c:v>
                </c:pt>
                <c:pt idx="27">
                  <c:v>633.14806694644255</c:v>
                </c:pt>
                <c:pt idx="28">
                  <c:v>678.38980513732463</c:v>
                </c:pt>
                <c:pt idx="29">
                  <c:v>704.60776901621239</c:v>
                </c:pt>
                <c:pt idx="30">
                  <c:v>663.52676504506292</c:v>
                </c:pt>
                <c:pt idx="31">
                  <c:v>697.95462510612663</c:v>
                </c:pt>
                <c:pt idx="32">
                  <c:v>689.87751989269123</c:v>
                </c:pt>
                <c:pt idx="33">
                  <c:v>648.87825537559922</c:v>
                </c:pt>
                <c:pt idx="34">
                  <c:v>700.13519283614482</c:v>
                </c:pt>
                <c:pt idx="35">
                  <c:v>679.39990741638189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B4-410F-8371-3B0B07185922}"/>
            </c:ext>
          </c:extLst>
        </c:ser>
        <c:ser>
          <c:idx val="5"/>
          <c:order val="5"/>
          <c:tx>
            <c:strRef>
              <c:f>'NEW Summary 1990-2025 GHG'!$A$11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1990-2025 GHG'!$B$1:$AK$1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GHG'!$B$11:$AK$11</c:f>
              <c:numCache>
                <c:formatCode>0.00</c:formatCode>
                <c:ptCount val="36"/>
                <c:pt idx="0">
                  <c:v>5143.2200176793176</c:v>
                </c:pt>
                <c:pt idx="1">
                  <c:v>5322.7832705614946</c:v>
                </c:pt>
                <c:pt idx="2">
                  <c:v>5750.6985282709948</c:v>
                </c:pt>
                <c:pt idx="3">
                  <c:v>5725.0394143377143</c:v>
                </c:pt>
                <c:pt idx="4">
                  <c:v>5973.8913934320872</c:v>
                </c:pt>
                <c:pt idx="5">
                  <c:v>6264.1169786522005</c:v>
                </c:pt>
                <c:pt idx="6">
                  <c:v>7306.2869975265749</c:v>
                </c:pt>
                <c:pt idx="7">
                  <c:v>7679.9390846846409</c:v>
                </c:pt>
                <c:pt idx="8">
                  <c:v>9019.9300077280441</c:v>
                </c:pt>
                <c:pt idx="9">
                  <c:v>9739.628664271806</c:v>
                </c:pt>
                <c:pt idx="10">
                  <c:v>10779.065078575934</c:v>
                </c:pt>
                <c:pt idx="11">
                  <c:v>11302.080134697726</c:v>
                </c:pt>
                <c:pt idx="12">
                  <c:v>11495.624932787981</c:v>
                </c:pt>
                <c:pt idx="13">
                  <c:v>11698.304497723837</c:v>
                </c:pt>
                <c:pt idx="14">
                  <c:v>12416.763515431025</c:v>
                </c:pt>
                <c:pt idx="15">
                  <c:v>13126.120385023904</c:v>
                </c:pt>
                <c:pt idx="16">
                  <c:v>13806.997258067277</c:v>
                </c:pt>
                <c:pt idx="17">
                  <c:v>14395.857780299897</c:v>
                </c:pt>
                <c:pt idx="18">
                  <c:v>13667.19863286293</c:v>
                </c:pt>
                <c:pt idx="19">
                  <c:v>12448.027911933108</c:v>
                </c:pt>
                <c:pt idx="20">
                  <c:v>11533.970222784925</c:v>
                </c:pt>
                <c:pt idx="21">
                  <c:v>11225.596111835832</c:v>
                </c:pt>
                <c:pt idx="22">
                  <c:v>10838.420605613859</c:v>
                </c:pt>
                <c:pt idx="23">
                  <c:v>11063.135323963486</c:v>
                </c:pt>
                <c:pt idx="24">
                  <c:v>11346.025711165177</c:v>
                </c:pt>
                <c:pt idx="25">
                  <c:v>11839.39412923561</c:v>
                </c:pt>
                <c:pt idx="26">
                  <c:v>12350.368735270726</c:v>
                </c:pt>
                <c:pt idx="27">
                  <c:v>12201.872706653961</c:v>
                </c:pt>
                <c:pt idx="28">
                  <c:v>12396.293255150986</c:v>
                </c:pt>
                <c:pt idx="29">
                  <c:v>12423.79499678319</c:v>
                </c:pt>
                <c:pt idx="30">
                  <c:v>10484.276404310425</c:v>
                </c:pt>
                <c:pt idx="31">
                  <c:v>11193.285968766259</c:v>
                </c:pt>
                <c:pt idx="32">
                  <c:v>11882.761039958945</c:v>
                </c:pt>
                <c:pt idx="33">
                  <c:v>11931.293482415585</c:v>
                </c:pt>
                <c:pt idx="34">
                  <c:v>11782.170253280794</c:v>
                </c:pt>
                <c:pt idx="35">
                  <c:v>11607.603864902778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B4-410F-8371-3B0B07185922}"/>
            </c:ext>
          </c:extLst>
        </c:ser>
        <c:ser>
          <c:idx val="6"/>
          <c:order val="6"/>
          <c:tx>
            <c:strRef>
              <c:f>'NEW Summary 1990-2025 GHG'!$A$17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1990-2025 GHG'!$B$1:$AK$1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GHG'!$B$17:$AK$17</c:f>
              <c:numCache>
                <c:formatCode>0.00</c:formatCode>
                <c:ptCount val="36"/>
                <c:pt idx="0">
                  <c:v>3161.559738976744</c:v>
                </c:pt>
                <c:pt idx="1">
                  <c:v>2872.553911284198</c:v>
                </c:pt>
                <c:pt idx="2">
                  <c:v>2784.0648123635565</c:v>
                </c:pt>
                <c:pt idx="3">
                  <c:v>2749.2930743739112</c:v>
                </c:pt>
                <c:pt idx="4">
                  <c:v>2987.4581126653125</c:v>
                </c:pt>
                <c:pt idx="5">
                  <c:v>2901.0088638522143</c:v>
                </c:pt>
                <c:pt idx="6">
                  <c:v>2982.9360376297204</c:v>
                </c:pt>
                <c:pt idx="7">
                  <c:v>3311.9963753963725</c:v>
                </c:pt>
                <c:pt idx="8">
                  <c:v>3201.4966168304627</c:v>
                </c:pt>
                <c:pt idx="9">
                  <c:v>3151.6402265406441</c:v>
                </c:pt>
                <c:pt idx="10">
                  <c:v>3699.2791976138528</c:v>
                </c:pt>
                <c:pt idx="11">
                  <c:v>3755.8997730443321</c:v>
                </c:pt>
                <c:pt idx="12">
                  <c:v>3267.579686525336</c:v>
                </c:pt>
                <c:pt idx="13">
                  <c:v>2491.4216368361776</c:v>
                </c:pt>
                <c:pt idx="14">
                  <c:v>2663.1856876769994</c:v>
                </c:pt>
                <c:pt idx="15">
                  <c:v>2756.6068960085136</c:v>
                </c:pt>
                <c:pt idx="16">
                  <c:v>2699.3849926174648</c:v>
                </c:pt>
                <c:pt idx="17">
                  <c:v>2756.9996237713999</c:v>
                </c:pt>
                <c:pt idx="18">
                  <c:v>2466.9196776889826</c:v>
                </c:pt>
                <c:pt idx="19">
                  <c:v>1651.6548172225791</c:v>
                </c:pt>
                <c:pt idx="20">
                  <c:v>1457.7811095382394</c:v>
                </c:pt>
                <c:pt idx="21">
                  <c:v>1326.8874492072634</c:v>
                </c:pt>
                <c:pt idx="22">
                  <c:v>1553.2976314794837</c:v>
                </c:pt>
                <c:pt idx="23">
                  <c:v>1469.352797746752</c:v>
                </c:pt>
                <c:pt idx="24">
                  <c:v>1814.5751730041789</c:v>
                </c:pt>
                <c:pt idx="25">
                  <c:v>2001.5452192972532</c:v>
                </c:pt>
                <c:pt idx="26">
                  <c:v>2143.4511900924426</c:v>
                </c:pt>
                <c:pt idx="27">
                  <c:v>2231.087953851672</c:v>
                </c:pt>
                <c:pt idx="28">
                  <c:v>2287.8372177793594</c:v>
                </c:pt>
                <c:pt idx="29">
                  <c:v>2259.5604371079921</c:v>
                </c:pt>
                <c:pt idx="30" formatCode="0.000">
                  <c:v>2102.6252598821225</c:v>
                </c:pt>
                <c:pt idx="31">
                  <c:v>2467.1432155430043</c:v>
                </c:pt>
                <c:pt idx="32">
                  <c:v>2288.5369762829869</c:v>
                </c:pt>
                <c:pt idx="33">
                  <c:v>2147.0263163196878</c:v>
                </c:pt>
                <c:pt idx="34">
                  <c:v>1866.7836147388048</c:v>
                </c:pt>
                <c:pt idx="35">
                  <c:v>1833.5434595782401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B4-410F-8371-3B0B07185922}"/>
            </c:ext>
          </c:extLst>
        </c:ser>
        <c:ser>
          <c:idx val="7"/>
          <c:order val="7"/>
          <c:tx>
            <c:strRef>
              <c:f>'NEW Summary 1990-2025 GHG'!$A$23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1990-2025 GHG'!$B$1:$AK$1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GHG'!$B$23:$AK$23</c:f>
              <c:numCache>
                <c:formatCode>0.00</c:formatCode>
                <c:ptCount val="36"/>
                <c:pt idx="0">
                  <c:v>35.524187103957608</c:v>
                </c:pt>
                <c:pt idx="1">
                  <c:v>49.661994466251372</c:v>
                </c:pt>
                <c:pt idx="2">
                  <c:v>63.799610544922189</c:v>
                </c:pt>
                <c:pt idx="3">
                  <c:v>96.561008915301926</c:v>
                </c:pt>
                <c:pt idx="4">
                  <c:v>135.26066400240859</c:v>
                </c:pt>
                <c:pt idx="5">
                  <c:v>205.45058843855244</c:v>
                </c:pt>
                <c:pt idx="6">
                  <c:v>299.64319190246647</c:v>
                </c:pt>
                <c:pt idx="7">
                  <c:v>405.87354525393033</c:v>
                </c:pt>
                <c:pt idx="8">
                  <c:v>310.8520087031024</c:v>
                </c:pt>
                <c:pt idx="9">
                  <c:v>488.16084411976902</c:v>
                </c:pt>
                <c:pt idx="10">
                  <c:v>706.98944973303674</c:v>
                </c:pt>
                <c:pt idx="11">
                  <c:v>725.27197897556402</c:v>
                </c:pt>
                <c:pt idx="12">
                  <c:v>724.27530595860844</c:v>
                </c:pt>
                <c:pt idx="13">
                  <c:v>915.61564441666962</c:v>
                </c:pt>
                <c:pt idx="14">
                  <c:v>941.02099530254043</c:v>
                </c:pt>
                <c:pt idx="15">
                  <c:v>1123.7330455373408</c:v>
                </c:pt>
                <c:pt idx="16">
                  <c:v>1105.9131506090259</c:v>
                </c:pt>
                <c:pt idx="17">
                  <c:v>1106.3151200833511</c:v>
                </c:pt>
                <c:pt idx="18">
                  <c:v>1133.5310193940597</c:v>
                </c:pt>
                <c:pt idx="19">
                  <c:v>1101.9758335651327</c:v>
                </c:pt>
                <c:pt idx="20">
                  <c:v>1066.0954511931914</c:v>
                </c:pt>
                <c:pt idx="21">
                  <c:v>1070.8006655506517</c:v>
                </c:pt>
                <c:pt idx="22">
                  <c:v>1043.5836093635819</c:v>
                </c:pt>
                <c:pt idx="23">
                  <c:v>1072.1872664719847</c:v>
                </c:pt>
                <c:pt idx="24">
                  <c:v>1134.3868508431085</c:v>
                </c:pt>
                <c:pt idx="25">
                  <c:v>1130.6423607181532</c:v>
                </c:pt>
                <c:pt idx="26">
                  <c:v>1204.1511795314182</c:v>
                </c:pt>
                <c:pt idx="27">
                  <c:v>1136.8766238833434</c:v>
                </c:pt>
                <c:pt idx="28">
                  <c:v>831.80380701398747</c:v>
                </c:pt>
                <c:pt idx="29">
                  <c:v>808.6767930675195</c:v>
                </c:pt>
                <c:pt idx="30" formatCode="0.000">
                  <c:v>648.2464309277068</c:v>
                </c:pt>
                <c:pt idx="31">
                  <c:v>692.62625692686925</c:v>
                </c:pt>
                <c:pt idx="32">
                  <c:v>658.98618090990965</c:v>
                </c:pt>
                <c:pt idx="33">
                  <c:v>604.65195289734368</c:v>
                </c:pt>
                <c:pt idx="34">
                  <c:v>603.38505613479037</c:v>
                </c:pt>
                <c:pt idx="35">
                  <c:v>636.10671305374433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B4-410F-8371-3B0B07185922}"/>
            </c:ext>
          </c:extLst>
        </c:ser>
        <c:ser>
          <c:idx val="8"/>
          <c:order val="8"/>
          <c:tx>
            <c:strRef>
              <c:f>'NEW Summary 1990-2025 GHG'!$A$24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1990-2025 GHG'!$B$1:$AK$1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GHG'!$B$24:$AK$24</c:f>
              <c:numCache>
                <c:formatCode>0.00</c:formatCode>
                <c:ptCount val="36"/>
                <c:pt idx="0">
                  <c:v>20570.904991976302</c:v>
                </c:pt>
                <c:pt idx="1">
                  <c:v>20707.377835024476</c:v>
                </c:pt>
                <c:pt idx="2">
                  <c:v>20839.224016985278</c:v>
                </c:pt>
                <c:pt idx="3">
                  <c:v>21084.457489698871</c:v>
                </c:pt>
                <c:pt idx="4">
                  <c:v>21225.841218929974</c:v>
                </c:pt>
                <c:pt idx="5">
                  <c:v>21867.860882532965</c:v>
                </c:pt>
                <c:pt idx="6">
                  <c:v>22075.445413414665</c:v>
                </c:pt>
                <c:pt idx="7">
                  <c:v>22183.480286125068</c:v>
                </c:pt>
                <c:pt idx="8">
                  <c:v>22612.673210015339</c:v>
                </c:pt>
                <c:pt idx="9">
                  <c:v>22266.719047496717</c:v>
                </c:pt>
                <c:pt idx="10">
                  <c:v>21335.008709033813</c:v>
                </c:pt>
                <c:pt idx="11">
                  <c:v>21033.202142485869</c:v>
                </c:pt>
                <c:pt idx="12">
                  <c:v>20706.626835964977</c:v>
                </c:pt>
                <c:pt idx="13">
                  <c:v>20996.159520189023</c:v>
                </c:pt>
                <c:pt idx="14">
                  <c:v>20651.404618255361</c:v>
                </c:pt>
                <c:pt idx="15">
                  <c:v>20183.732962774309</c:v>
                </c:pt>
                <c:pt idx="16">
                  <c:v>19766.098255647201</c:v>
                </c:pt>
                <c:pt idx="17">
                  <c:v>19628.476137904887</c:v>
                </c:pt>
                <c:pt idx="18">
                  <c:v>19260.4113190346</c:v>
                </c:pt>
                <c:pt idx="19">
                  <c:v>18844.471615666589</c:v>
                </c:pt>
                <c:pt idx="20">
                  <c:v>18988.314346678682</c:v>
                </c:pt>
                <c:pt idx="21">
                  <c:v>18557.33832030421</c:v>
                </c:pt>
                <c:pt idx="22">
                  <c:v>18859.233411157347</c:v>
                </c:pt>
                <c:pt idx="23">
                  <c:v>19448.636013942163</c:v>
                </c:pt>
                <c:pt idx="24">
                  <c:v>19526.565007102839</c:v>
                </c:pt>
                <c:pt idx="25">
                  <c:v>19920.550163026874</c:v>
                </c:pt>
                <c:pt idx="26">
                  <c:v>20507.605954074821</c:v>
                </c:pt>
                <c:pt idx="27">
                  <c:v>21126.957903529936</c:v>
                </c:pt>
                <c:pt idx="28">
                  <c:v>21402.383015470303</c:v>
                </c:pt>
                <c:pt idx="29">
                  <c:v>21283.511936701434</c:v>
                </c:pt>
                <c:pt idx="30">
                  <c:v>21588.362732753743</c:v>
                </c:pt>
                <c:pt idx="31">
                  <c:v>21967.614528787839</c:v>
                </c:pt>
                <c:pt idx="32">
                  <c:v>21779.867224278667</c:v>
                </c:pt>
                <c:pt idx="33">
                  <c:v>20719.546534732603</c:v>
                </c:pt>
                <c:pt idx="34">
                  <c:v>20435.676852595858</c:v>
                </c:pt>
                <c:pt idx="35">
                  <c:v>20398.448033618672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B4-410F-8371-3B0B07185922}"/>
            </c:ext>
          </c:extLst>
        </c:ser>
        <c:ser>
          <c:idx val="9"/>
          <c:order val="9"/>
          <c:tx>
            <c:strRef>
              <c:f>'NEW Summary 1990-2025 GHG'!$A$32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1990-2025 GHG'!$B$1:$AK$1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GHG'!$B$32:$AK$32</c:f>
              <c:numCache>
                <c:formatCode>0.00</c:formatCode>
                <c:ptCount val="36"/>
                <c:pt idx="0">
                  <c:v>1709.2379654880638</c:v>
                </c:pt>
                <c:pt idx="1">
                  <c:v>1799.7259717319207</c:v>
                </c:pt>
                <c:pt idx="2">
                  <c:v>1872.6110167758227</c:v>
                </c:pt>
                <c:pt idx="3">
                  <c:v>1928.635396083811</c:v>
                </c:pt>
                <c:pt idx="4">
                  <c:v>1978.8855789392078</c:v>
                </c:pt>
                <c:pt idx="5">
                  <c:v>2019.7605435458233</c:v>
                </c:pt>
                <c:pt idx="6">
                  <c:v>1884.4315270557624</c:v>
                </c:pt>
                <c:pt idx="7">
                  <c:v>1576.982250910261</c:v>
                </c:pt>
                <c:pt idx="8">
                  <c:v>1626.6006654526207</c:v>
                </c:pt>
                <c:pt idx="9">
                  <c:v>1630.7580838813492</c:v>
                </c:pt>
                <c:pt idx="10">
                  <c:v>1643.2779552875486</c:v>
                </c:pt>
                <c:pt idx="11">
                  <c:v>1766.8598970748044</c:v>
                </c:pt>
                <c:pt idx="12">
                  <c:v>1880.8930105084603</c:v>
                </c:pt>
                <c:pt idx="13">
                  <c:v>1935.8113668287185</c:v>
                </c:pt>
                <c:pt idx="14">
                  <c:v>1656.7174768324844</c:v>
                </c:pt>
                <c:pt idx="15">
                  <c:v>1454.2732283395637</c:v>
                </c:pt>
                <c:pt idx="16">
                  <c:v>1489.0608120747911</c:v>
                </c:pt>
                <c:pt idx="17">
                  <c:v>962.33999441077253</c:v>
                </c:pt>
                <c:pt idx="18">
                  <c:v>800.17858585700117</c:v>
                </c:pt>
                <c:pt idx="19">
                  <c:v>603.78478589667623</c:v>
                </c:pt>
                <c:pt idx="20">
                  <c:v>594.31068292949431</c:v>
                </c:pt>
                <c:pt idx="21">
                  <c:v>688.42779394361185</c:v>
                </c:pt>
                <c:pt idx="22">
                  <c:v>594.26965456386324</c:v>
                </c:pt>
                <c:pt idx="23">
                  <c:v>764.64137999478999</c:v>
                </c:pt>
                <c:pt idx="24">
                  <c:v>949.68601610714018</c:v>
                </c:pt>
                <c:pt idx="25">
                  <c:v>1025.8248980477192</c:v>
                </c:pt>
                <c:pt idx="26">
                  <c:v>1019.2945208107094</c:v>
                </c:pt>
                <c:pt idx="27">
                  <c:v>988.0756943528088</c:v>
                </c:pt>
                <c:pt idx="28">
                  <c:v>943.37653365285883</c:v>
                </c:pt>
                <c:pt idx="29">
                  <c:v>908.39164361748965</c:v>
                </c:pt>
                <c:pt idx="30">
                  <c:v>888.9153915942502</c:v>
                </c:pt>
                <c:pt idx="31">
                  <c:v>833.96672898270162</c:v>
                </c:pt>
                <c:pt idx="32">
                  <c:v>879.58421071363273</c:v>
                </c:pt>
                <c:pt idx="33">
                  <c:v>840.93361055304717</c:v>
                </c:pt>
                <c:pt idx="34">
                  <c:v>822.64954636994128</c:v>
                </c:pt>
                <c:pt idx="35">
                  <c:v>819.53686301069376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B4-410F-8371-3B0B07185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330624"/>
        <c:axId val="216332160"/>
      </c:barChart>
      <c:catAx>
        <c:axId val="2163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6332160"/>
        <c:crosses val="autoZero"/>
        <c:auto val="1"/>
        <c:lblAlgn val="ctr"/>
        <c:lblOffset val="100"/>
        <c:noMultiLvlLbl val="0"/>
      </c:catAx>
      <c:valAx>
        <c:axId val="216332160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Kilotonnes</a:t>
                </a:r>
                <a:r>
                  <a:rPr lang="en-IE" baseline="0"/>
                  <a:t> CO2eq</a:t>
                </a:r>
                <a:endParaRPr lang="en-IE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21633062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1990-2025 CH4'!$A$2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1990-2025 CH4'!$B$1:$AK$1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CH4'!$B$2:$AK$2</c:f>
              <c:numCache>
                <c:formatCode>0.00</c:formatCode>
                <c:ptCount val="36"/>
                <c:pt idx="0">
                  <c:v>106.70970902206479</c:v>
                </c:pt>
                <c:pt idx="1">
                  <c:v>95.731276666186105</c:v>
                </c:pt>
                <c:pt idx="2">
                  <c:v>90.711008890175265</c:v>
                </c:pt>
                <c:pt idx="3">
                  <c:v>92.935732332300958</c:v>
                </c:pt>
                <c:pt idx="4">
                  <c:v>91.143890031303712</c:v>
                </c:pt>
                <c:pt idx="5">
                  <c:v>90.838965888820113</c:v>
                </c:pt>
                <c:pt idx="6">
                  <c:v>89.483366647765564</c:v>
                </c:pt>
                <c:pt idx="7">
                  <c:v>86.49801320805237</c:v>
                </c:pt>
                <c:pt idx="8">
                  <c:v>71.439250233232784</c:v>
                </c:pt>
                <c:pt idx="9">
                  <c:v>71.786504341110827</c:v>
                </c:pt>
                <c:pt idx="10">
                  <c:v>71.769969757754311</c:v>
                </c:pt>
                <c:pt idx="11">
                  <c:v>86.040651714954279</c:v>
                </c:pt>
                <c:pt idx="12">
                  <c:v>59.393930791696846</c:v>
                </c:pt>
                <c:pt idx="13">
                  <c:v>806.3614699454082</c:v>
                </c:pt>
                <c:pt idx="14">
                  <c:v>63.21291199824455</c:v>
                </c:pt>
                <c:pt idx="15">
                  <c:v>55.474234727821838</c:v>
                </c:pt>
                <c:pt idx="16">
                  <c:v>63.584117365318399</c:v>
                </c:pt>
                <c:pt idx="17">
                  <c:v>69.503385122231208</c:v>
                </c:pt>
                <c:pt idx="18">
                  <c:v>58.529232695233972</c:v>
                </c:pt>
                <c:pt idx="19">
                  <c:v>54.922558727324677</c:v>
                </c:pt>
                <c:pt idx="20">
                  <c:v>56.325252892878275</c:v>
                </c:pt>
                <c:pt idx="21">
                  <c:v>52.927707154898172</c:v>
                </c:pt>
                <c:pt idx="22">
                  <c:v>53.390957848361218</c:v>
                </c:pt>
                <c:pt idx="23">
                  <c:v>52.288158352616563</c:v>
                </c:pt>
                <c:pt idx="24">
                  <c:v>98.715731460084683</c:v>
                </c:pt>
                <c:pt idx="25">
                  <c:v>51.925669048796131</c:v>
                </c:pt>
                <c:pt idx="26">
                  <c:v>52.578382648293584</c:v>
                </c:pt>
                <c:pt idx="27">
                  <c:v>55.732178762066923</c:v>
                </c:pt>
                <c:pt idx="28">
                  <c:v>63.006085188936204</c:v>
                </c:pt>
                <c:pt idx="29">
                  <c:v>56.547103084549704</c:v>
                </c:pt>
                <c:pt idx="30">
                  <c:v>56.808970048889677</c:v>
                </c:pt>
                <c:pt idx="31">
                  <c:v>45.281980691273034</c:v>
                </c:pt>
                <c:pt idx="32">
                  <c:v>43.493205682608092</c:v>
                </c:pt>
                <c:pt idx="33">
                  <c:v>41.839090035736149</c:v>
                </c:pt>
                <c:pt idx="34">
                  <c:v>50.23676759619368</c:v>
                </c:pt>
                <c:pt idx="35">
                  <c:v>45.015466899243421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0-489B-B022-46B638A4DBA4}"/>
            </c:ext>
          </c:extLst>
        </c:ser>
        <c:ser>
          <c:idx val="1"/>
          <c:order val="1"/>
          <c:tx>
            <c:strRef>
              <c:f>'NEW Summary 1990-2025 CH4'!$A$7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1990-2025 CH4'!$B$1:$AK$1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CH4'!$B$7:$AK$7</c:f>
              <c:numCache>
                <c:formatCode>0.00</c:formatCode>
                <c:ptCount val="36"/>
                <c:pt idx="0">
                  <c:v>495.65923189435318</c:v>
                </c:pt>
                <c:pt idx="1">
                  <c:v>483.56260415019267</c:v>
                </c:pt>
                <c:pt idx="2">
                  <c:v>410.79029366026697</c:v>
                </c:pt>
                <c:pt idx="3">
                  <c:v>399.93039837346402</c:v>
                </c:pt>
                <c:pt idx="4">
                  <c:v>352.59557877816826</c:v>
                </c:pt>
                <c:pt idx="5">
                  <c:v>318.56419310188386</c:v>
                </c:pt>
                <c:pt idx="6">
                  <c:v>318.87685733087255</c:v>
                </c:pt>
                <c:pt idx="7">
                  <c:v>279.62573671924514</c:v>
                </c:pt>
                <c:pt idx="8">
                  <c:v>296.6915886556074</c:v>
                </c:pt>
                <c:pt idx="9">
                  <c:v>227.07947314365592</c:v>
                </c:pt>
                <c:pt idx="10">
                  <c:v>226.62106889013009</c:v>
                </c:pt>
                <c:pt idx="11">
                  <c:v>216.22334663789957</c:v>
                </c:pt>
                <c:pt idx="12">
                  <c:v>213.30446175335402</c:v>
                </c:pt>
                <c:pt idx="13">
                  <c:v>202.47634616314522</c:v>
                </c:pt>
                <c:pt idx="14">
                  <c:v>199.07565285732093</c:v>
                </c:pt>
                <c:pt idx="15">
                  <c:v>208.29151276163194</c:v>
                </c:pt>
                <c:pt idx="16">
                  <c:v>202.56106666616989</c:v>
                </c:pt>
                <c:pt idx="17">
                  <c:v>196.63775359499633</c:v>
                </c:pt>
                <c:pt idx="18">
                  <c:v>208.57492098743359</c:v>
                </c:pt>
                <c:pt idx="19">
                  <c:v>220.05096550561743</c:v>
                </c:pt>
                <c:pt idx="20">
                  <c:v>210.51917232814202</c:v>
                </c:pt>
                <c:pt idx="21">
                  <c:v>188.38980483287449</c:v>
                </c:pt>
                <c:pt idx="22">
                  <c:v>187.5290194067332</c:v>
                </c:pt>
                <c:pt idx="23">
                  <c:v>197.17579048459174</c:v>
                </c:pt>
                <c:pt idx="24">
                  <c:v>177.23711065142177</c:v>
                </c:pt>
                <c:pt idx="25">
                  <c:v>185.19807060211849</c:v>
                </c:pt>
                <c:pt idx="26">
                  <c:v>188.53625802023083</c:v>
                </c:pt>
                <c:pt idx="27">
                  <c:v>160.92968875743998</c:v>
                </c:pt>
                <c:pt idx="28">
                  <c:v>173.23950040321358</c:v>
                </c:pt>
                <c:pt idx="29">
                  <c:v>156.44473683889436</c:v>
                </c:pt>
                <c:pt idx="30">
                  <c:v>164.58225978377016</c:v>
                </c:pt>
                <c:pt idx="31">
                  <c:v>156.63985605712369</c:v>
                </c:pt>
                <c:pt idx="32">
                  <c:v>123.88903348978749</c:v>
                </c:pt>
                <c:pt idx="33">
                  <c:v>107.06802155051324</c:v>
                </c:pt>
                <c:pt idx="34">
                  <c:v>107.2686487032877</c:v>
                </c:pt>
                <c:pt idx="35">
                  <c:v>102.80806507790342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40-489B-B022-46B638A4DBA4}"/>
            </c:ext>
          </c:extLst>
        </c:ser>
        <c:ser>
          <c:idx val="2"/>
          <c:order val="2"/>
          <c:tx>
            <c:strRef>
              <c:f>'NEW Summary 1990-2025 CH4'!$A$8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1990-2025 CH4'!$B$1:$AK$1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CH4'!$B$8:$AK$8</c:f>
              <c:numCache>
                <c:formatCode>0.00</c:formatCode>
                <c:ptCount val="36"/>
                <c:pt idx="0">
                  <c:v>7.6716625604073911</c:v>
                </c:pt>
                <c:pt idx="1">
                  <c:v>7.9946876288113913</c:v>
                </c:pt>
                <c:pt idx="2">
                  <c:v>6.7652878880876024</c:v>
                </c:pt>
                <c:pt idx="3">
                  <c:v>7.1200386663778907</c:v>
                </c:pt>
                <c:pt idx="4">
                  <c:v>6.9401151691976963</c:v>
                </c:pt>
                <c:pt idx="5">
                  <c:v>7.0997648405865936</c:v>
                </c:pt>
                <c:pt idx="6">
                  <c:v>7.599308529997681</c:v>
                </c:pt>
                <c:pt idx="7">
                  <c:v>7.7010509558166396</c:v>
                </c:pt>
                <c:pt idx="8">
                  <c:v>8.2267356199531569</c:v>
                </c:pt>
                <c:pt idx="9">
                  <c:v>8.3017402042866451</c:v>
                </c:pt>
                <c:pt idx="10">
                  <c:v>9.638777982192714</c:v>
                </c:pt>
                <c:pt idx="11">
                  <c:v>10.137193195824734</c:v>
                </c:pt>
                <c:pt idx="12">
                  <c:v>9.7538169457401462</c:v>
                </c:pt>
                <c:pt idx="13">
                  <c:v>10.080900776218471</c:v>
                </c:pt>
                <c:pt idx="14">
                  <c:v>10.975571099189997</c:v>
                </c:pt>
                <c:pt idx="15">
                  <c:v>12.361448164606001</c:v>
                </c:pt>
                <c:pt idx="16">
                  <c:v>11.815092685405798</c:v>
                </c:pt>
                <c:pt idx="17">
                  <c:v>11.40388826181022</c:v>
                </c:pt>
                <c:pt idx="18">
                  <c:v>10.55960092374915</c:v>
                </c:pt>
                <c:pt idx="19">
                  <c:v>9.6006394481015906</c:v>
                </c:pt>
                <c:pt idx="20">
                  <c:v>9.8513527082744847</c:v>
                </c:pt>
                <c:pt idx="21">
                  <c:v>8.9468305132241337</c:v>
                </c:pt>
                <c:pt idx="22">
                  <c:v>9.0247447229579372</c:v>
                </c:pt>
                <c:pt idx="23">
                  <c:v>9.7278762402879817</c:v>
                </c:pt>
                <c:pt idx="24">
                  <c:v>11.016559404009747</c:v>
                </c:pt>
                <c:pt idx="25">
                  <c:v>11.273290980239532</c:v>
                </c:pt>
                <c:pt idx="26">
                  <c:v>11.156471801009772</c:v>
                </c:pt>
                <c:pt idx="27">
                  <c:v>12.458764141694399</c:v>
                </c:pt>
                <c:pt idx="28">
                  <c:v>12.727246454291208</c:v>
                </c:pt>
                <c:pt idx="29">
                  <c:v>12.260672232642271</c:v>
                </c:pt>
                <c:pt idx="30">
                  <c:v>12.031243577100426</c:v>
                </c:pt>
                <c:pt idx="31">
                  <c:v>11.754727527926644</c:v>
                </c:pt>
                <c:pt idx="32">
                  <c:v>11.730754190582548</c:v>
                </c:pt>
                <c:pt idx="33">
                  <c:v>11.630128319953403</c:v>
                </c:pt>
                <c:pt idx="34">
                  <c:v>11.341459859889234</c:v>
                </c:pt>
                <c:pt idx="35">
                  <c:v>11.962787251701226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40-489B-B022-46B638A4DBA4}"/>
            </c:ext>
          </c:extLst>
        </c:ser>
        <c:ser>
          <c:idx val="3"/>
          <c:order val="3"/>
          <c:tx>
            <c:strRef>
              <c:f>'NEW Summary 1990-2025 CH4'!$A$9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1990-2025 CH4'!$B$1:$AK$1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CH4'!$B$9:$AK$9</c:f>
              <c:numCache>
                <c:formatCode>0.00</c:formatCode>
                <c:ptCount val="36"/>
                <c:pt idx="0">
                  <c:v>3.6666435241060777</c:v>
                </c:pt>
                <c:pt idx="1">
                  <c:v>3.7058578705988068</c:v>
                </c:pt>
                <c:pt idx="2">
                  <c:v>3.6538692346696751</c:v>
                </c:pt>
                <c:pt idx="3">
                  <c:v>3.565396035479266</c:v>
                </c:pt>
                <c:pt idx="4">
                  <c:v>3.8808966434968939</c:v>
                </c:pt>
                <c:pt idx="5">
                  <c:v>3.7885004440854688</c:v>
                </c:pt>
                <c:pt idx="6">
                  <c:v>3.3571991897823672</c:v>
                </c:pt>
                <c:pt idx="7">
                  <c:v>3.3571640139971213</c:v>
                </c:pt>
                <c:pt idx="8">
                  <c:v>3.2509048908753013</c:v>
                </c:pt>
                <c:pt idx="9">
                  <c:v>3.331576784090601</c:v>
                </c:pt>
                <c:pt idx="10">
                  <c:v>3.3337372954775164</c:v>
                </c:pt>
                <c:pt idx="11">
                  <c:v>3.2588809253078415</c:v>
                </c:pt>
                <c:pt idx="12">
                  <c:v>3.1301015780245267</c:v>
                </c:pt>
                <c:pt idx="13">
                  <c:v>3.3639260117029823</c:v>
                </c:pt>
                <c:pt idx="14">
                  <c:v>3.1973325199206704</c:v>
                </c:pt>
                <c:pt idx="15">
                  <c:v>3.328765676959073</c:v>
                </c:pt>
                <c:pt idx="16">
                  <c:v>3.6530367709249658</c:v>
                </c:pt>
                <c:pt idx="17">
                  <c:v>5.1335887478032758</c:v>
                </c:pt>
                <c:pt idx="18">
                  <c:v>7.1473833689799298</c:v>
                </c:pt>
                <c:pt idx="19">
                  <c:v>5.9067343314402487</c:v>
                </c:pt>
                <c:pt idx="20">
                  <c:v>5.6049816811125597</c:v>
                </c:pt>
                <c:pt idx="21">
                  <c:v>5.9738180803419683</c:v>
                </c:pt>
                <c:pt idx="22">
                  <c:v>6.6811851565534512</c:v>
                </c:pt>
                <c:pt idx="23">
                  <c:v>7.6145978571493815</c:v>
                </c:pt>
                <c:pt idx="24">
                  <c:v>8.1445841502192096</c:v>
                </c:pt>
                <c:pt idx="25">
                  <c:v>5.6792165440317302</c:v>
                </c:pt>
                <c:pt idx="26">
                  <c:v>6.1873483383231687</c:v>
                </c:pt>
                <c:pt idx="27">
                  <c:v>5.0700425841212784</c:v>
                </c:pt>
                <c:pt idx="28">
                  <c:v>5.1345220842499426</c:v>
                </c:pt>
                <c:pt idx="29">
                  <c:v>4.5967694942115962</c:v>
                </c:pt>
                <c:pt idx="30">
                  <c:v>4.4340955027696811</c:v>
                </c:pt>
                <c:pt idx="31">
                  <c:v>4.9938831860719439</c:v>
                </c:pt>
                <c:pt idx="32">
                  <c:v>5.0845557040103246</c:v>
                </c:pt>
                <c:pt idx="33">
                  <c:v>4.5655266751742047</c:v>
                </c:pt>
                <c:pt idx="34">
                  <c:v>5.1977331023308171</c:v>
                </c:pt>
                <c:pt idx="35">
                  <c:v>5.7720171379645882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40-489B-B022-46B638A4DBA4}"/>
            </c:ext>
          </c:extLst>
        </c:ser>
        <c:ser>
          <c:idx val="4"/>
          <c:order val="4"/>
          <c:tx>
            <c:strRef>
              <c:f>'NEW Summary 1990-2025 CH4'!$A$10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1990-2025 CH4'!$B$1:$AK$1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CH4'!$B$10:$AK$10</c:f>
              <c:numCache>
                <c:formatCode>0.00</c:formatCode>
                <c:ptCount val="36"/>
                <c:pt idx="0">
                  <c:v>3.8994347314217772</c:v>
                </c:pt>
                <c:pt idx="1">
                  <c:v>3.7808380898941598</c:v>
                </c:pt>
                <c:pt idx="2">
                  <c:v>3.4647052860806689</c:v>
                </c:pt>
                <c:pt idx="3">
                  <c:v>3.319362143598068</c:v>
                </c:pt>
                <c:pt idx="4">
                  <c:v>3.3314287900409885</c:v>
                </c:pt>
                <c:pt idx="5">
                  <c:v>3.0869025402900547</c:v>
                </c:pt>
                <c:pt idx="6">
                  <c:v>2.8595925938772071</c:v>
                </c:pt>
                <c:pt idx="7">
                  <c:v>2.68140098574615</c:v>
                </c:pt>
                <c:pt idx="8">
                  <c:v>2.466372714330443</c:v>
                </c:pt>
                <c:pt idx="9">
                  <c:v>2.5327066649806351</c:v>
                </c:pt>
                <c:pt idx="10">
                  <c:v>2.6129734494531061</c:v>
                </c:pt>
                <c:pt idx="11">
                  <c:v>2.5081451569921511</c:v>
                </c:pt>
                <c:pt idx="12">
                  <c:v>2.3450924177266383</c:v>
                </c:pt>
                <c:pt idx="13">
                  <c:v>2.2281612007969049</c:v>
                </c:pt>
                <c:pt idx="14">
                  <c:v>2.0613248064155782</c:v>
                </c:pt>
                <c:pt idx="15">
                  <c:v>2.0472101070543731</c:v>
                </c:pt>
                <c:pt idx="16">
                  <c:v>1.9566473646949341</c:v>
                </c:pt>
                <c:pt idx="17">
                  <c:v>1.8291294150097794</c:v>
                </c:pt>
                <c:pt idx="18">
                  <c:v>1.8414167549968616</c:v>
                </c:pt>
                <c:pt idx="19">
                  <c:v>3.2000873199489512</c:v>
                </c:pt>
                <c:pt idx="20">
                  <c:v>2.8703750651155007</c:v>
                </c:pt>
                <c:pt idx="21">
                  <c:v>3.4864708936005031</c:v>
                </c:pt>
                <c:pt idx="22">
                  <c:v>4.0961570745971905</c:v>
                </c:pt>
                <c:pt idx="23">
                  <c:v>5.5832120548743642</c:v>
                </c:pt>
                <c:pt idx="24">
                  <c:v>5.8227933013464614</c:v>
                </c:pt>
                <c:pt idx="25">
                  <c:v>4.6219870343689413</c:v>
                </c:pt>
                <c:pt idx="26">
                  <c:v>6.8734748452338641</c:v>
                </c:pt>
                <c:pt idx="27">
                  <c:v>6.4916321168683897</c:v>
                </c:pt>
                <c:pt idx="28">
                  <c:v>5.9468677061420916</c:v>
                </c:pt>
                <c:pt idx="29">
                  <c:v>5.2381339515855778</c:v>
                </c:pt>
                <c:pt idx="30">
                  <c:v>5.5202959239710783</c:v>
                </c:pt>
                <c:pt idx="31">
                  <c:v>6.1444615815246317</c:v>
                </c:pt>
                <c:pt idx="32">
                  <c:v>6.3398994217843718</c:v>
                </c:pt>
                <c:pt idx="33">
                  <c:v>5.7503101444418157</c:v>
                </c:pt>
                <c:pt idx="34">
                  <c:v>6.4640261403173165</c:v>
                </c:pt>
                <c:pt idx="35">
                  <c:v>6.619300517659779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40-489B-B022-46B638A4DBA4}"/>
            </c:ext>
          </c:extLst>
        </c:ser>
        <c:ser>
          <c:idx val="5"/>
          <c:order val="5"/>
          <c:tx>
            <c:strRef>
              <c:f>'NEW Summary 1990-2025 CH4'!$A$11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1990-2025 CH4'!$B$1:$AK$1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CH4'!$B$11:$AK$11</c:f>
              <c:numCache>
                <c:formatCode>0.00</c:formatCode>
                <c:ptCount val="36"/>
                <c:pt idx="0">
                  <c:v>54.936296806367167</c:v>
                </c:pt>
                <c:pt idx="1">
                  <c:v>56.403874507806819</c:v>
                </c:pt>
                <c:pt idx="2">
                  <c:v>57.796792739248147</c:v>
                </c:pt>
                <c:pt idx="3">
                  <c:v>54.591001683716485</c:v>
                </c:pt>
                <c:pt idx="4">
                  <c:v>53.268741266593295</c:v>
                </c:pt>
                <c:pt idx="5">
                  <c:v>52.772939372402838</c:v>
                </c:pt>
                <c:pt idx="6">
                  <c:v>52.714017819453353</c:v>
                </c:pt>
                <c:pt idx="7">
                  <c:v>50.046592081029637</c:v>
                </c:pt>
                <c:pt idx="8">
                  <c:v>52.402966743114192</c:v>
                </c:pt>
                <c:pt idx="9">
                  <c:v>51.854033240301504</c:v>
                </c:pt>
                <c:pt idx="10">
                  <c:v>49.253994279533529</c:v>
                </c:pt>
                <c:pt idx="11">
                  <c:v>48.478794275987347</c:v>
                </c:pt>
                <c:pt idx="12">
                  <c:v>45.416083649692169</c:v>
                </c:pt>
                <c:pt idx="13">
                  <c:v>43.324510892686277</c:v>
                </c:pt>
                <c:pt idx="14">
                  <c:v>43.067458337030651</c:v>
                </c:pt>
                <c:pt idx="15">
                  <c:v>43.377970652222515</c:v>
                </c:pt>
                <c:pt idx="16">
                  <c:v>42.065109422966209</c:v>
                </c:pt>
                <c:pt idx="17">
                  <c:v>40.665670962559254</c:v>
                </c:pt>
                <c:pt idx="18">
                  <c:v>37.936783193012253</c:v>
                </c:pt>
                <c:pt idx="19">
                  <c:v>33.464573423397802</c:v>
                </c:pt>
                <c:pt idx="20">
                  <c:v>29.495234821858258</c:v>
                </c:pt>
                <c:pt idx="21">
                  <c:v>27.283309033993685</c:v>
                </c:pt>
                <c:pt idx="22">
                  <c:v>24.622148130247236</c:v>
                </c:pt>
                <c:pt idx="23">
                  <c:v>23.486075245527807</c:v>
                </c:pt>
                <c:pt idx="24">
                  <c:v>22.436135806264247</c:v>
                </c:pt>
                <c:pt idx="25">
                  <c:v>21.120537958632923</c:v>
                </c:pt>
                <c:pt idx="26">
                  <c:v>19.507278616449163</c:v>
                </c:pt>
                <c:pt idx="27">
                  <c:v>17.102614199314441</c:v>
                </c:pt>
                <c:pt idx="28">
                  <c:v>15.322861080374166</c:v>
                </c:pt>
                <c:pt idx="29">
                  <c:v>13.986171923337256</c:v>
                </c:pt>
                <c:pt idx="30">
                  <c:v>10.420908541756212</c:v>
                </c:pt>
                <c:pt idx="31">
                  <c:v>10.314762231291001</c:v>
                </c:pt>
                <c:pt idx="32">
                  <c:v>10.817694326780666</c:v>
                </c:pt>
                <c:pt idx="33">
                  <c:v>11.571035755413169</c:v>
                </c:pt>
                <c:pt idx="34">
                  <c:v>11.62346309297287</c:v>
                </c:pt>
                <c:pt idx="35">
                  <c:v>11.910393867237522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40-489B-B022-46B638A4DBA4}"/>
            </c:ext>
          </c:extLst>
        </c:ser>
        <c:ser>
          <c:idx val="6"/>
          <c:order val="6"/>
          <c:tx>
            <c:strRef>
              <c:f>'NEW Summary 1990-2025 CH4'!$A$17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1990-2025 CH4'!$B$1:$AK$1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CH4'!$B$17:$AK$17</c:f>
              <c:numCache>
                <c:formatCode>0.00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6-A440-489B-B022-46B638A4DBA4}"/>
            </c:ext>
          </c:extLst>
        </c:ser>
        <c:ser>
          <c:idx val="7"/>
          <c:order val="7"/>
          <c:tx>
            <c:strRef>
              <c:f>'NEW Summary 1990-2025 CH4'!$A$23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1990-2025 CH4'!$B$1:$AK$1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CH4'!$B$23:$AK$23</c:f>
              <c:numCache>
                <c:formatCode>0.00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7-A440-489B-B022-46B638A4DBA4}"/>
            </c:ext>
          </c:extLst>
        </c:ser>
        <c:ser>
          <c:idx val="8"/>
          <c:order val="8"/>
          <c:tx>
            <c:strRef>
              <c:f>'NEW Summary 1990-2025 CH4'!$A$24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1990-2025 CH4'!$B$1:$AK$1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CH4'!$B$24:$AK$24</c:f>
              <c:numCache>
                <c:formatCode>0.00</c:formatCode>
                <c:ptCount val="36"/>
                <c:pt idx="0">
                  <c:v>14296.61122545953</c:v>
                </c:pt>
                <c:pt idx="1">
                  <c:v>14473.48089112478</c:v>
                </c:pt>
                <c:pt idx="2">
                  <c:v>14701.926589183424</c:v>
                </c:pt>
                <c:pt idx="3">
                  <c:v>14708.418713931249</c:v>
                </c:pt>
                <c:pt idx="4">
                  <c:v>14648.208637396554</c:v>
                </c:pt>
                <c:pt idx="5">
                  <c:v>14693.044334478504</c:v>
                </c:pt>
                <c:pt idx="6">
                  <c:v>15104.620106173707</c:v>
                </c:pt>
                <c:pt idx="7">
                  <c:v>15431.557680039527</c:v>
                </c:pt>
                <c:pt idx="8">
                  <c:v>15631.51285707382</c:v>
                </c:pt>
                <c:pt idx="9">
                  <c:v>15186.470111149567</c:v>
                </c:pt>
                <c:pt idx="10">
                  <c:v>14534.520508488507</c:v>
                </c:pt>
                <c:pt idx="11">
                  <c:v>14453.478499241093</c:v>
                </c:pt>
                <c:pt idx="12">
                  <c:v>14308.867527357956</c:v>
                </c:pt>
                <c:pt idx="13">
                  <c:v>14267.560834554821</c:v>
                </c:pt>
                <c:pt idx="14">
                  <c:v>14213.35357239475</c:v>
                </c:pt>
                <c:pt idx="15">
                  <c:v>13811.995891239154</c:v>
                </c:pt>
                <c:pt idx="16">
                  <c:v>13582.903488090646</c:v>
                </c:pt>
                <c:pt idx="17">
                  <c:v>13526.451273078006</c:v>
                </c:pt>
                <c:pt idx="18">
                  <c:v>13349.211335294476</c:v>
                </c:pt>
                <c:pt idx="19">
                  <c:v>13135.044243408855</c:v>
                </c:pt>
                <c:pt idx="20">
                  <c:v>12936.867398914428</c:v>
                </c:pt>
                <c:pt idx="21">
                  <c:v>13010.466506376781</c:v>
                </c:pt>
                <c:pt idx="22">
                  <c:v>13370.045041527168</c:v>
                </c:pt>
                <c:pt idx="23">
                  <c:v>13406.861879658954</c:v>
                </c:pt>
                <c:pt idx="24">
                  <c:v>13786.412830157145</c:v>
                </c:pt>
                <c:pt idx="25">
                  <c:v>14154.826414483736</c:v>
                </c:pt>
                <c:pt idx="26">
                  <c:v>14590.720946407077</c:v>
                </c:pt>
                <c:pt idx="27">
                  <c:v>15016.62435767691</c:v>
                </c:pt>
                <c:pt idx="28">
                  <c:v>14898.413956146755</c:v>
                </c:pt>
                <c:pt idx="29">
                  <c:v>15099.220980327362</c:v>
                </c:pt>
                <c:pt idx="30">
                  <c:v>15270.283468735061</c:v>
                </c:pt>
                <c:pt idx="31">
                  <c:v>15301.636836269672</c:v>
                </c:pt>
                <c:pt idx="32">
                  <c:v>15292.140295511646</c:v>
                </c:pt>
                <c:pt idx="33">
                  <c:v>14950.112477752955</c:v>
                </c:pt>
                <c:pt idx="34">
                  <c:v>14554.97335075798</c:v>
                </c:pt>
                <c:pt idx="35">
                  <c:v>14303.728787474562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40-489B-B022-46B638A4DBA4}"/>
            </c:ext>
          </c:extLst>
        </c:ser>
        <c:ser>
          <c:idx val="9"/>
          <c:order val="9"/>
          <c:tx>
            <c:strRef>
              <c:f>'NEW Summary 1990-2025 CH4'!$A$32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1990-2025 CH4'!$B$1:$AK$1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CH4'!$B$32:$AK$32</c:f>
              <c:numCache>
                <c:formatCode>0.00</c:formatCode>
                <c:ptCount val="36"/>
                <c:pt idx="0">
                  <c:v>1545.8533528449464</c:v>
                </c:pt>
                <c:pt idx="1">
                  <c:v>1636.4310230730002</c:v>
                </c:pt>
                <c:pt idx="2">
                  <c:v>1707.4564657481867</c:v>
                </c:pt>
                <c:pt idx="3">
                  <c:v>1762.9557530360016</c:v>
                </c:pt>
                <c:pt idx="4">
                  <c:v>1814.1734518897417</c:v>
                </c:pt>
                <c:pt idx="5">
                  <c:v>1855.5442917242906</c:v>
                </c:pt>
                <c:pt idx="6">
                  <c:v>1719.7433407843723</c:v>
                </c:pt>
                <c:pt idx="7">
                  <c:v>1426.7889917224798</c:v>
                </c:pt>
                <c:pt idx="8">
                  <c:v>1491.7878195649241</c:v>
                </c:pt>
                <c:pt idx="9">
                  <c:v>1485.9722837918493</c:v>
                </c:pt>
                <c:pt idx="10">
                  <c:v>1492.11576211641</c:v>
                </c:pt>
                <c:pt idx="11">
                  <c:v>1603.6360880070492</c:v>
                </c:pt>
                <c:pt idx="12">
                  <c:v>1692.0379743831249</c:v>
                </c:pt>
                <c:pt idx="13">
                  <c:v>1700.2311130246194</c:v>
                </c:pt>
                <c:pt idx="14">
                  <c:v>1420.8423171483739</c:v>
                </c:pt>
                <c:pt idx="15">
                  <c:v>1228.0428250627112</c:v>
                </c:pt>
                <c:pt idx="16">
                  <c:v>1267.9669809603931</c:v>
                </c:pt>
                <c:pt idx="17">
                  <c:v>782.67459143853944</c:v>
                </c:pt>
                <c:pt idx="18">
                  <c:v>630.03307393572265</c:v>
                </c:pt>
                <c:pt idx="19">
                  <c:v>431.50104913659231</c:v>
                </c:pt>
                <c:pt idx="20">
                  <c:v>425.20946470706383</c:v>
                </c:pt>
                <c:pt idx="21">
                  <c:v>538.60833820407549</c:v>
                </c:pt>
                <c:pt idx="22">
                  <c:v>442.39309750265301</c:v>
                </c:pt>
                <c:pt idx="23">
                  <c:v>611.27527692937008</c:v>
                </c:pt>
                <c:pt idx="24">
                  <c:v>807.56127017131234</c:v>
                </c:pt>
                <c:pt idx="25">
                  <c:v>877.82244571768877</c:v>
                </c:pt>
                <c:pt idx="26">
                  <c:v>886.09872806261285</c:v>
                </c:pt>
                <c:pt idx="27">
                  <c:v>843.78871353156399</c:v>
                </c:pt>
                <c:pt idx="28">
                  <c:v>801.21700013199973</c:v>
                </c:pt>
                <c:pt idx="29">
                  <c:v>755.1788530789895</c:v>
                </c:pt>
                <c:pt idx="30">
                  <c:v>736.18401532207838</c:v>
                </c:pt>
                <c:pt idx="31">
                  <c:v>678.84939421406955</c:v>
                </c:pt>
                <c:pt idx="32">
                  <c:v>721.41221176025488</c:v>
                </c:pt>
                <c:pt idx="33">
                  <c:v>681.96186767746383</c:v>
                </c:pt>
                <c:pt idx="34">
                  <c:v>679.58568718146489</c:v>
                </c:pt>
                <c:pt idx="35">
                  <c:v>675.17448660856348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40-489B-B022-46B638A4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561856"/>
        <c:axId val="227563392"/>
      </c:barChart>
      <c:catAx>
        <c:axId val="2275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7563392"/>
        <c:crosses val="autoZero"/>
        <c:auto val="1"/>
        <c:lblAlgn val="ctr"/>
        <c:lblOffset val="100"/>
        <c:noMultiLvlLbl val="0"/>
      </c:catAx>
      <c:valAx>
        <c:axId val="227563392"/>
        <c:scaling>
          <c:orientation val="minMax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22756185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2025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1381302433430722"/>
                  <c:y val="4.424129171477274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B7-46B5-BAB2-706056E448FA}"/>
                </c:ext>
              </c:extLst>
            </c:dLbl>
            <c:dLbl>
              <c:idx val="1"/>
              <c:layout>
                <c:manualLayout>
                  <c:x val="0.18371484840479446"/>
                  <c:y val="2.35600318453603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B7-46B5-BAB2-706056E448FA}"/>
                </c:ext>
              </c:extLst>
            </c:dLbl>
            <c:dLbl>
              <c:idx val="2"/>
              <c:layout>
                <c:manualLayout>
                  <c:x val="0.3061217290021323"/>
                  <c:y val="0.2743101831243214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B7-46B5-BAB2-706056E448FA}"/>
                </c:ext>
              </c:extLst>
            </c:dLbl>
            <c:dLbl>
              <c:idx val="3"/>
              <c:layout>
                <c:manualLayout>
                  <c:x val="0.26597255439736961"/>
                  <c:y val="0.1189847418335516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B7-46B5-BAB2-706056E448FA}"/>
                </c:ext>
              </c:extLst>
            </c:dLbl>
            <c:dLbl>
              <c:idx val="4"/>
              <c:layout>
                <c:manualLayout>
                  <c:x val="-0.44244268867628761"/>
                  <c:y val="0.4152718009604231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B7-46B5-BAB2-706056E448FA}"/>
                </c:ext>
              </c:extLst>
            </c:dLbl>
            <c:dLbl>
              <c:idx val="5"/>
              <c:layout>
                <c:manualLayout>
                  <c:x val="0.33160053320743166"/>
                  <c:y val="0.4114652746864821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B7-46B5-BAB2-706056E448FA}"/>
                </c:ext>
              </c:extLst>
            </c:dLbl>
            <c:dLbl>
              <c:idx val="6"/>
              <c:layout>
                <c:manualLayout>
                  <c:x val="-0.42003934974932"/>
                  <c:y val="0.1775969442493576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B7-46B5-BAB2-706056E448FA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B7-46B5-BAB2-706056E448FA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B7-46B5-BAB2-706056E448FA}"/>
                </c:ext>
              </c:extLst>
            </c:dLbl>
            <c:dLbl>
              <c:idx val="9"/>
              <c:layout>
                <c:manualLayout>
                  <c:x val="-0.14886853278243131"/>
                  <c:y val="4.717221212286121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B7-46B5-BAB2-706056E448F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1990-2025 CH4'!$A$2,'NEW Summary 1990-2025 CH4'!$A$7,'NEW Summary 1990-2025 CH4'!$A$8,'NEW Summary 1990-2025 CH4'!$A$9,'NEW Summary 1990-2025 CH4'!$A$10,'NEW Summary 1990-2025 CH4'!$A$11,'NEW Summary 1990-2025 CH4'!$A$17,'NEW Summary 1990-2025 CH4'!$A$23,'NEW Summary 1990-2025 CH4'!$A$24,'NEW Summary 1990-2025 CH4'!$A$32)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1990-2025 CH4'!$AK$2,'NEW Summary 1990-2025 CH4'!$AK$7,'NEW Summary 1990-2025 CH4'!$AK$8,'NEW Summary 1990-2025 CH4'!$AK$9,'NEW Summary 1990-2025 CH4'!$AK$10,'NEW Summary 1990-2025 CH4'!$AK$11,'NEW Summary 1990-2025 CH4'!$AK$17,'NEW Summary 1990-2025 CH4'!$AK$23,'NEW Summary 1990-2025 CH4'!$AK$24,'NEW Summary 1990-2025 CH4'!$AK$32)</c:f>
              <c:numCache>
                <c:formatCode>0.00</c:formatCode>
                <c:ptCount val="10"/>
                <c:pt idx="0">
                  <c:v>45.015466899243421</c:v>
                </c:pt>
                <c:pt idx="1">
                  <c:v>102.80806507790342</c:v>
                </c:pt>
                <c:pt idx="2">
                  <c:v>11.962787251701226</c:v>
                </c:pt>
                <c:pt idx="3">
                  <c:v>5.7720171379645882</c:v>
                </c:pt>
                <c:pt idx="4">
                  <c:v>6.619300517659779</c:v>
                </c:pt>
                <c:pt idx="5">
                  <c:v>11.910393867237522</c:v>
                </c:pt>
                <c:pt idx="8">
                  <c:v>14303.728787474562</c:v>
                </c:pt>
                <c:pt idx="9">
                  <c:v>675.17448660856348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FB7-46B5-BAB2-706056E44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1927415852040327"/>
                  <c:y val="3.1724256627983327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D7-4E47-9347-36B86CD5C8EE}"/>
                </c:ext>
              </c:extLst>
            </c:dLbl>
            <c:dLbl>
              <c:idx val="1"/>
              <c:layout>
                <c:manualLayout>
                  <c:x val="0.11365598356398729"/>
                  <c:y val="7.8140222292091854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D7-4E47-9347-36B86CD5C8EE}"/>
                </c:ext>
              </c:extLst>
            </c:dLbl>
            <c:dLbl>
              <c:idx val="2"/>
              <c:layout>
                <c:manualLayout>
                  <c:x val="0.21430586501795379"/>
                  <c:y val="0.2865927377083661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D7-4E47-9347-36B86CD5C8EE}"/>
                </c:ext>
              </c:extLst>
            </c:dLbl>
            <c:dLbl>
              <c:idx val="3"/>
              <c:layout>
                <c:manualLayout>
                  <c:x val="0.13788419811723701"/>
                  <c:y val="7.253736626696707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D7-4E47-9347-36B86CD5C8EE}"/>
                </c:ext>
              </c:extLst>
            </c:dLbl>
            <c:dLbl>
              <c:idx val="4"/>
              <c:layout>
                <c:manualLayout>
                  <c:x val="-0.55039321113000639"/>
                  <c:y val="0.3938932405844821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D7-4E47-9347-36B86CD5C8EE}"/>
                </c:ext>
              </c:extLst>
            </c:dLbl>
            <c:dLbl>
              <c:idx val="5"/>
              <c:layout>
                <c:manualLayout>
                  <c:x val="0.21935662472238671"/>
                  <c:y val="0.4213950623126171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D7-4E47-9347-36B86CD5C8EE}"/>
                </c:ext>
              </c:extLst>
            </c:dLbl>
            <c:dLbl>
              <c:idx val="6"/>
              <c:layout>
                <c:manualLayout>
                  <c:x val="-0.56038458113989487"/>
                  <c:y val="0.1518456501578045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D7-4E47-9347-36B86CD5C8EE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D7-4E47-9347-36B86CD5C8EE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D7-4E47-9347-36B86CD5C8EE}"/>
                </c:ext>
              </c:extLst>
            </c:dLbl>
            <c:dLbl>
              <c:idx val="9"/>
              <c:layout>
                <c:manualLayout>
                  <c:x val="-0.1400521133058113"/>
                  <c:y val="4.366825905437195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D7-4E47-9347-36B86CD5C8E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1990-2025 CH4'!$A$2,'NEW Summary 1990-2025 CH4'!$A$7,'NEW Summary 1990-2025 CH4'!$A$8,'NEW Summary 1990-2025 CH4'!$A$9,'NEW Summary 1990-2025 CH4'!$A$10,'NEW Summary 1990-2025 CH4'!$A$11,'NEW Summary 1990-2025 CH4'!$A$17,'NEW Summary 1990-2025 CH4'!$A$23,'NEW Summary 1990-2025 CH4'!$A$24,'NEW Summary 1990-2025 CH4'!$A$32)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1990-2025 CH4'!$B$2,'NEW Summary 1990-2025 CH4'!$B$7,'NEW Summary 1990-2025 CH4'!$B$8,'NEW Summary 1990-2025 CH4'!$B$9,'NEW Summary 1990-2025 CH4'!$B$10,'NEW Summary 1990-2025 CH4'!$B$11,'NEW Summary 1990-2025 CH4'!$B$17,'NEW Summary 1990-2025 CH4'!$B$23,'NEW Summary 1990-2025 CH4'!$B$24,'NEW Summary 1990-2025 CH4'!$B$32)</c:f>
              <c:numCache>
                <c:formatCode>0.00</c:formatCode>
                <c:ptCount val="10"/>
                <c:pt idx="0">
                  <c:v>106.70970902206479</c:v>
                </c:pt>
                <c:pt idx="1">
                  <c:v>495.65923189435318</c:v>
                </c:pt>
                <c:pt idx="2">
                  <c:v>7.6716625604073911</c:v>
                </c:pt>
                <c:pt idx="3">
                  <c:v>3.6666435241060777</c:v>
                </c:pt>
                <c:pt idx="4">
                  <c:v>3.8994347314217772</c:v>
                </c:pt>
                <c:pt idx="5">
                  <c:v>54.936296806367167</c:v>
                </c:pt>
                <c:pt idx="8">
                  <c:v>14296.61122545953</c:v>
                </c:pt>
                <c:pt idx="9">
                  <c:v>1545.8533528449464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D7-4E47-9347-36B86CD5C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441638420633614E-2"/>
          <c:y val="3.0433880156322663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1990-2025 N2O'!$A$2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1990-2025 N2O'!$B$1:$AK$1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N2O'!$B$2:$AK$2</c:f>
              <c:numCache>
                <c:formatCode>0.00</c:formatCode>
                <c:ptCount val="36"/>
                <c:pt idx="0">
                  <c:v>63.580266645074424</c:v>
                </c:pt>
                <c:pt idx="1">
                  <c:v>65.057215959349804</c:v>
                </c:pt>
                <c:pt idx="2">
                  <c:v>66.92676663578797</c:v>
                </c:pt>
                <c:pt idx="3">
                  <c:v>64.027024870467386</c:v>
                </c:pt>
                <c:pt idx="4">
                  <c:v>65.271599330834036</c:v>
                </c:pt>
                <c:pt idx="5">
                  <c:v>66.142636258119111</c:v>
                </c:pt>
                <c:pt idx="6">
                  <c:v>69.21520688479815</c:v>
                </c:pt>
                <c:pt idx="7">
                  <c:v>69.099508780976592</c:v>
                </c:pt>
                <c:pt idx="8">
                  <c:v>66.855376053113972</c:v>
                </c:pt>
                <c:pt idx="9">
                  <c:v>68.489556840411197</c:v>
                </c:pt>
                <c:pt idx="10">
                  <c:v>68.447359656156095</c:v>
                </c:pt>
                <c:pt idx="11">
                  <c:v>74.504644829551268</c:v>
                </c:pt>
                <c:pt idx="12">
                  <c:v>83.88630838071532</c:v>
                </c:pt>
                <c:pt idx="13">
                  <c:v>92.951514204143919</c:v>
                </c:pt>
                <c:pt idx="14">
                  <c:v>81.404890671751531</c:v>
                </c:pt>
                <c:pt idx="15">
                  <c:v>89.175070508234441</c:v>
                </c:pt>
                <c:pt idx="16">
                  <c:v>96.698419126286652</c:v>
                </c:pt>
                <c:pt idx="17">
                  <c:v>102.37095105580745</c:v>
                </c:pt>
                <c:pt idx="18">
                  <c:v>128.13509211304495</c:v>
                </c:pt>
                <c:pt idx="19">
                  <c:v>123.13770314482167</c:v>
                </c:pt>
                <c:pt idx="20">
                  <c:v>128.06812569937864</c:v>
                </c:pt>
                <c:pt idx="21">
                  <c:v>116.90684556385715</c:v>
                </c:pt>
                <c:pt idx="22">
                  <c:v>119.38650846477239</c:v>
                </c:pt>
                <c:pt idx="23">
                  <c:v>110.54949958717998</c:v>
                </c:pt>
                <c:pt idx="24">
                  <c:v>110.49083489448908</c:v>
                </c:pt>
                <c:pt idx="25">
                  <c:v>108.60503403832068</c:v>
                </c:pt>
                <c:pt idx="26">
                  <c:v>124.0734655146527</c:v>
                </c:pt>
                <c:pt idx="27">
                  <c:v>124.84724675040162</c:v>
                </c:pt>
                <c:pt idx="28">
                  <c:v>126.20263699530199</c:v>
                </c:pt>
                <c:pt idx="29">
                  <c:v>123.78340409679825</c:v>
                </c:pt>
                <c:pt idx="30">
                  <c:v>110.12424971368836</c:v>
                </c:pt>
                <c:pt idx="31">
                  <c:v>95.518644704352639</c:v>
                </c:pt>
                <c:pt idx="32">
                  <c:v>102.57044655497742</c:v>
                </c:pt>
                <c:pt idx="33">
                  <c:v>91.422185259648728</c:v>
                </c:pt>
                <c:pt idx="34">
                  <c:v>90.510686321380987</c:v>
                </c:pt>
                <c:pt idx="35">
                  <c:v>89.70022665090363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0-44B1-8766-05BCAAD134C6}"/>
            </c:ext>
          </c:extLst>
        </c:ser>
        <c:ser>
          <c:idx val="1"/>
          <c:order val="1"/>
          <c:tx>
            <c:strRef>
              <c:f>'NEW Summary 1990-2025 N2O'!$A$7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1990-2025 N2O'!$B$1:$AK$1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N2O'!$B$7:$AK$7</c:f>
              <c:numCache>
                <c:formatCode>0.00</c:formatCode>
                <c:ptCount val="36"/>
                <c:pt idx="0">
                  <c:v>25.992683308900371</c:v>
                </c:pt>
                <c:pt idx="1">
                  <c:v>25.331809622054774</c:v>
                </c:pt>
                <c:pt idx="2">
                  <c:v>21.707305230682678</c:v>
                </c:pt>
                <c:pt idx="3">
                  <c:v>21.467527454845328</c:v>
                </c:pt>
                <c:pt idx="4">
                  <c:v>20.09751651317422</c:v>
                </c:pt>
                <c:pt idx="5">
                  <c:v>18.911587620304626</c:v>
                </c:pt>
                <c:pt idx="6">
                  <c:v>19.633963591344823</c:v>
                </c:pt>
                <c:pt idx="7">
                  <c:v>18.251448042403215</c:v>
                </c:pt>
                <c:pt idx="8">
                  <c:v>19.644054434592839</c:v>
                </c:pt>
                <c:pt idx="9">
                  <c:v>17.438179904775712</c:v>
                </c:pt>
                <c:pt idx="10">
                  <c:v>17.430113405140144</c:v>
                </c:pt>
                <c:pt idx="11">
                  <c:v>17.724571678352234</c:v>
                </c:pt>
                <c:pt idx="12">
                  <c:v>17.772366528022783</c:v>
                </c:pt>
                <c:pt idx="13">
                  <c:v>17.800602138904292</c:v>
                </c:pt>
                <c:pt idx="14">
                  <c:v>17.877854669846386</c:v>
                </c:pt>
                <c:pt idx="15">
                  <c:v>18.945465246465439</c:v>
                </c:pt>
                <c:pt idx="16">
                  <c:v>18.531533966370226</c:v>
                </c:pt>
                <c:pt idx="17">
                  <c:v>18.475775094171258</c:v>
                </c:pt>
                <c:pt idx="18">
                  <c:v>20.018985441915707</c:v>
                </c:pt>
                <c:pt idx="19">
                  <c:v>20.487809129831252</c:v>
                </c:pt>
                <c:pt idx="20">
                  <c:v>20.597778497215934</c:v>
                </c:pt>
                <c:pt idx="21">
                  <c:v>17.97678787605766</c:v>
                </c:pt>
                <c:pt idx="22">
                  <c:v>17.065932902953747</c:v>
                </c:pt>
                <c:pt idx="23">
                  <c:v>16.848131662983427</c:v>
                </c:pt>
                <c:pt idx="24">
                  <c:v>15.182714926727009</c:v>
                </c:pt>
                <c:pt idx="25">
                  <c:v>16.375235779908788</c:v>
                </c:pt>
                <c:pt idx="26">
                  <c:v>16.964120123473862</c:v>
                </c:pt>
                <c:pt idx="27">
                  <c:v>15.03919597570399</c:v>
                </c:pt>
                <c:pt idx="28">
                  <c:v>16.185869459013723</c:v>
                </c:pt>
                <c:pt idx="29">
                  <c:v>15.189147605488978</c:v>
                </c:pt>
                <c:pt idx="30">
                  <c:v>16.73570535209042</c:v>
                </c:pt>
                <c:pt idx="31">
                  <c:v>15.574147318543254</c:v>
                </c:pt>
                <c:pt idx="32">
                  <c:v>12.709147143134304</c:v>
                </c:pt>
                <c:pt idx="33">
                  <c:v>11.849048996409886</c:v>
                </c:pt>
                <c:pt idx="34">
                  <c:v>12.47586243672292</c:v>
                </c:pt>
                <c:pt idx="35">
                  <c:v>12.036144728817218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50-44B1-8766-05BCAAD134C6}"/>
            </c:ext>
          </c:extLst>
        </c:ser>
        <c:ser>
          <c:idx val="2"/>
          <c:order val="2"/>
          <c:tx>
            <c:strRef>
              <c:f>'NEW Summary 1990-2025 N2O'!$A$8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1990-2025 N2O'!$B$1:$AK$1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N2O'!$B$8:$AK$8</c:f>
              <c:numCache>
                <c:formatCode>0.00</c:formatCode>
                <c:ptCount val="36"/>
                <c:pt idx="0">
                  <c:v>28.102143050037981</c:v>
                </c:pt>
                <c:pt idx="1">
                  <c:v>37.560773233037779</c:v>
                </c:pt>
                <c:pt idx="2">
                  <c:v>36.577100973845077</c:v>
                </c:pt>
                <c:pt idx="3">
                  <c:v>37.379579328017208</c:v>
                </c:pt>
                <c:pt idx="4">
                  <c:v>40.170756031919041</c:v>
                </c:pt>
                <c:pt idx="5">
                  <c:v>41.068203902598057</c:v>
                </c:pt>
                <c:pt idx="6">
                  <c:v>39.956347940484847</c:v>
                </c:pt>
                <c:pt idx="7">
                  <c:v>41.378654196238905</c:v>
                </c:pt>
                <c:pt idx="8">
                  <c:v>42.102367774368055</c:v>
                </c:pt>
                <c:pt idx="9">
                  <c:v>43.708661951102329</c:v>
                </c:pt>
                <c:pt idx="10">
                  <c:v>46.03604387814746</c:v>
                </c:pt>
                <c:pt idx="11">
                  <c:v>49.414591088891676</c:v>
                </c:pt>
                <c:pt idx="12">
                  <c:v>48.038030213516734</c:v>
                </c:pt>
                <c:pt idx="13">
                  <c:v>48.012345970734984</c:v>
                </c:pt>
                <c:pt idx="14">
                  <c:v>51.151620494725059</c:v>
                </c:pt>
                <c:pt idx="15">
                  <c:v>59.750904463136571</c:v>
                </c:pt>
                <c:pt idx="16">
                  <c:v>59.313989547223557</c:v>
                </c:pt>
                <c:pt idx="17">
                  <c:v>57.427188207183988</c:v>
                </c:pt>
                <c:pt idx="18">
                  <c:v>43.16337297709827</c:v>
                </c:pt>
                <c:pt idx="19">
                  <c:v>53.593982269228817</c:v>
                </c:pt>
                <c:pt idx="20">
                  <c:v>42.380455592059143</c:v>
                </c:pt>
                <c:pt idx="21">
                  <c:v>36.06306923897791</c:v>
                </c:pt>
                <c:pt idx="22">
                  <c:v>36.392086895823986</c:v>
                </c:pt>
                <c:pt idx="23">
                  <c:v>41.605353138152665</c:v>
                </c:pt>
                <c:pt idx="24">
                  <c:v>38.387723776794871</c:v>
                </c:pt>
                <c:pt idx="25">
                  <c:v>36.462841110544112</c:v>
                </c:pt>
                <c:pt idx="26">
                  <c:v>39.486737510153006</c:v>
                </c:pt>
                <c:pt idx="27">
                  <c:v>49.46702931267577</c:v>
                </c:pt>
                <c:pt idx="28">
                  <c:v>49.383279925324608</c:v>
                </c:pt>
                <c:pt idx="29">
                  <c:v>50.147529174316823</c:v>
                </c:pt>
                <c:pt idx="30">
                  <c:v>43.789877312337005</c:v>
                </c:pt>
                <c:pt idx="31">
                  <c:v>45.12714274352723</c:v>
                </c:pt>
                <c:pt idx="32">
                  <c:v>46.567291687128709</c:v>
                </c:pt>
                <c:pt idx="33">
                  <c:v>49.399431776545924</c:v>
                </c:pt>
                <c:pt idx="34">
                  <c:v>49.279269149938592</c:v>
                </c:pt>
                <c:pt idx="35">
                  <c:v>49.191107933877397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50-44B1-8766-05BCAAD134C6}"/>
            </c:ext>
          </c:extLst>
        </c:ser>
        <c:ser>
          <c:idx val="3"/>
          <c:order val="3"/>
          <c:tx>
            <c:strRef>
              <c:f>'NEW Summary 1990-2025 N2O'!$A$9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1990-2025 N2O'!$B$1:$AK$1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N2O'!$B$9:$AK$9</c:f>
              <c:numCache>
                <c:formatCode>0.00</c:formatCode>
                <c:ptCount val="36"/>
                <c:pt idx="0">
                  <c:v>1.9744875547323375</c:v>
                </c:pt>
                <c:pt idx="1">
                  <c:v>1.9665235205403495</c:v>
                </c:pt>
                <c:pt idx="2">
                  <c:v>1.9147427592606345</c:v>
                </c:pt>
                <c:pt idx="3">
                  <c:v>1.8343893150392589</c:v>
                </c:pt>
                <c:pt idx="4">
                  <c:v>1.9912447621692557</c:v>
                </c:pt>
                <c:pt idx="5">
                  <c:v>1.9318844739155705</c:v>
                </c:pt>
                <c:pt idx="6">
                  <c:v>1.6655695844556742</c:v>
                </c:pt>
                <c:pt idx="7">
                  <c:v>1.6477643675135973</c:v>
                </c:pt>
                <c:pt idx="8">
                  <c:v>1.5552041606684956</c:v>
                </c:pt>
                <c:pt idx="9">
                  <c:v>1.5743904343657942</c:v>
                </c:pt>
                <c:pt idx="10">
                  <c:v>1.515921712441944</c:v>
                </c:pt>
                <c:pt idx="11">
                  <c:v>1.45459164669661</c:v>
                </c:pt>
                <c:pt idx="12">
                  <c:v>1.3783683468496803</c:v>
                </c:pt>
                <c:pt idx="13">
                  <c:v>1.7499906592355285</c:v>
                </c:pt>
                <c:pt idx="14">
                  <c:v>1.6181714889653833</c:v>
                </c:pt>
                <c:pt idx="15">
                  <c:v>1.6365626628759085</c:v>
                </c:pt>
                <c:pt idx="16">
                  <c:v>1.580632656396769</c:v>
                </c:pt>
                <c:pt idx="17">
                  <c:v>1.6932774064201235</c:v>
                </c:pt>
                <c:pt idx="18">
                  <c:v>1.9420579517759922</c:v>
                </c:pt>
                <c:pt idx="19">
                  <c:v>1.2548651801248989</c:v>
                </c:pt>
                <c:pt idx="20">
                  <c:v>1.2124459250720665</c:v>
                </c:pt>
                <c:pt idx="21">
                  <c:v>1.2379355456750563</c:v>
                </c:pt>
                <c:pt idx="22">
                  <c:v>1.2878367655306073</c:v>
                </c:pt>
                <c:pt idx="23">
                  <c:v>1.4252908841047256</c:v>
                </c:pt>
                <c:pt idx="24">
                  <c:v>1.4511721871454004</c:v>
                </c:pt>
                <c:pt idx="25">
                  <c:v>1.1929258851065088</c:v>
                </c:pt>
                <c:pt idx="26">
                  <c:v>1.238280816635221</c:v>
                </c:pt>
                <c:pt idx="27">
                  <c:v>1.0228246256368974</c:v>
                </c:pt>
                <c:pt idx="28">
                  <c:v>1.1078880952270569</c:v>
                </c:pt>
                <c:pt idx="29">
                  <c:v>0.98181251935030933</c:v>
                </c:pt>
                <c:pt idx="30">
                  <c:v>0.90425493436797533</c:v>
                </c:pt>
                <c:pt idx="31">
                  <c:v>1.0099758537206551</c:v>
                </c:pt>
                <c:pt idx="32">
                  <c:v>0.9894735249637937</c:v>
                </c:pt>
                <c:pt idx="33">
                  <c:v>0.91962562714306417</c:v>
                </c:pt>
                <c:pt idx="34">
                  <c:v>1.0218326137879321</c:v>
                </c:pt>
                <c:pt idx="35">
                  <c:v>1.0856907889702496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50-44B1-8766-05BCAAD134C6}"/>
            </c:ext>
          </c:extLst>
        </c:ser>
        <c:ser>
          <c:idx val="4"/>
          <c:order val="4"/>
          <c:tx>
            <c:strRef>
              <c:f>'NEW Summary 1990-2025 N2O'!$A$10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1990-2025 N2O'!$B$1:$AK$1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N2O'!$B$10:$AK$10</c:f>
              <c:numCache>
                <c:formatCode>0.00</c:formatCode>
                <c:ptCount val="36"/>
                <c:pt idx="0">
                  <c:v>2.3754883246932752</c:v>
                </c:pt>
                <c:pt idx="1">
                  <c:v>2.2569496990416349</c:v>
                </c:pt>
                <c:pt idx="2">
                  <c:v>1.9180411012280831</c:v>
                </c:pt>
                <c:pt idx="3">
                  <c:v>1.8047872001203213</c:v>
                </c:pt>
                <c:pt idx="4">
                  <c:v>1.757888984639614</c:v>
                </c:pt>
                <c:pt idx="5">
                  <c:v>1.5705807325119214</c:v>
                </c:pt>
                <c:pt idx="6">
                  <c:v>1.5009794371758975</c:v>
                </c:pt>
                <c:pt idx="7">
                  <c:v>1.3439710605915476</c:v>
                </c:pt>
                <c:pt idx="8">
                  <c:v>1.1615726024106843</c:v>
                </c:pt>
                <c:pt idx="9">
                  <c:v>1.1545519579913341</c:v>
                </c:pt>
                <c:pt idx="10">
                  <c:v>1.1345453948202666</c:v>
                </c:pt>
                <c:pt idx="11">
                  <c:v>1.1003005371958068</c:v>
                </c:pt>
                <c:pt idx="12">
                  <c:v>1.0277627982786477</c:v>
                </c:pt>
                <c:pt idx="13">
                  <c:v>0.94644106714916854</c:v>
                </c:pt>
                <c:pt idx="14">
                  <c:v>0.86032142272601686</c:v>
                </c:pt>
                <c:pt idx="15">
                  <c:v>0.86388641903363173</c:v>
                </c:pt>
                <c:pt idx="16">
                  <c:v>0.80082694953334466</c:v>
                </c:pt>
                <c:pt idx="17">
                  <c:v>0.73947475100924331</c:v>
                </c:pt>
                <c:pt idx="18">
                  <c:v>0.75490408300194578</c:v>
                </c:pt>
                <c:pt idx="19">
                  <c:v>0.83713013927617097</c:v>
                </c:pt>
                <c:pt idx="20">
                  <c:v>0.79174637269627757</c:v>
                </c:pt>
                <c:pt idx="21">
                  <c:v>0.82579623622410847</c:v>
                </c:pt>
                <c:pt idx="22">
                  <c:v>0.89895089598679523</c:v>
                </c:pt>
                <c:pt idx="23">
                  <c:v>1.2208107366259284</c:v>
                </c:pt>
                <c:pt idx="24">
                  <c:v>1.2436112665020007</c:v>
                </c:pt>
                <c:pt idx="25">
                  <c:v>1.0937561205413444</c:v>
                </c:pt>
                <c:pt idx="26">
                  <c:v>1.3875948466518391</c:v>
                </c:pt>
                <c:pt idx="27">
                  <c:v>1.3446562914546054</c:v>
                </c:pt>
                <c:pt idx="28">
                  <c:v>1.2823989193769576</c:v>
                </c:pt>
                <c:pt idx="29">
                  <c:v>1.1790335516749888</c:v>
                </c:pt>
                <c:pt idx="30">
                  <c:v>1.1738328297319471</c:v>
                </c:pt>
                <c:pt idx="31">
                  <c:v>1.2673356824646038</c:v>
                </c:pt>
                <c:pt idx="32">
                  <c:v>1.2752402374854044</c:v>
                </c:pt>
                <c:pt idx="33">
                  <c:v>1.1962016770973516</c:v>
                </c:pt>
                <c:pt idx="34">
                  <c:v>1.3190524851703598</c:v>
                </c:pt>
                <c:pt idx="35">
                  <c:v>1.3258638869500077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50-44B1-8766-05BCAAD134C6}"/>
            </c:ext>
          </c:extLst>
        </c:ser>
        <c:ser>
          <c:idx val="5"/>
          <c:order val="5"/>
          <c:tx>
            <c:strRef>
              <c:f>'NEW Summary 1990-2025 N2O'!$A$11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1990-2025 N2O'!$B$1:$AK$1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N2O'!$B$11:$AK$11</c:f>
              <c:numCache>
                <c:formatCode>0.00</c:formatCode>
                <c:ptCount val="36"/>
                <c:pt idx="0">
                  <c:v>58.63824807893063</c:v>
                </c:pt>
                <c:pt idx="1">
                  <c:v>58.897491713722538</c:v>
                </c:pt>
                <c:pt idx="2">
                  <c:v>71.059160241550302</c:v>
                </c:pt>
                <c:pt idx="3">
                  <c:v>86.825728805227115</c:v>
                </c:pt>
                <c:pt idx="4">
                  <c:v>114.8690103842582</c:v>
                </c:pt>
                <c:pt idx="5">
                  <c:v>152.45968723269635</c:v>
                </c:pt>
                <c:pt idx="6">
                  <c:v>226.2613291198754</c:v>
                </c:pt>
                <c:pt idx="7">
                  <c:v>281.95590568451934</c:v>
                </c:pt>
                <c:pt idx="8">
                  <c:v>346.87148954799852</c:v>
                </c:pt>
                <c:pt idx="9">
                  <c:v>154.25188472203678</c:v>
                </c:pt>
                <c:pt idx="10">
                  <c:v>167.98213728726782</c:v>
                </c:pt>
                <c:pt idx="11">
                  <c:v>174.55324994623234</c:v>
                </c:pt>
                <c:pt idx="12">
                  <c:v>171.06504065884812</c:v>
                </c:pt>
                <c:pt idx="13">
                  <c:v>165.9010541010974</c:v>
                </c:pt>
                <c:pt idx="14">
                  <c:v>164.265325645416</c:v>
                </c:pt>
                <c:pt idx="15">
                  <c:v>160.43162164786645</c:v>
                </c:pt>
                <c:pt idx="16">
                  <c:v>158.58746276385691</c:v>
                </c:pt>
                <c:pt idx="17">
                  <c:v>151.26650597607718</c:v>
                </c:pt>
                <c:pt idx="18">
                  <c:v>110.89293908352374</c:v>
                </c:pt>
                <c:pt idx="19">
                  <c:v>101.61490455399006</c:v>
                </c:pt>
                <c:pt idx="20">
                  <c:v>96.264648379835222</c:v>
                </c:pt>
                <c:pt idx="21">
                  <c:v>96.918934924746708</c:v>
                </c:pt>
                <c:pt idx="22">
                  <c:v>96.559672238131071</c:v>
                </c:pt>
                <c:pt idx="23">
                  <c:v>101.27574285094026</c:v>
                </c:pt>
                <c:pt idx="24">
                  <c:v>106.40562757845119</c:v>
                </c:pt>
                <c:pt idx="25">
                  <c:v>128.4432814426745</c:v>
                </c:pt>
                <c:pt idx="26">
                  <c:v>165.51488046084572</c:v>
                </c:pt>
                <c:pt idx="27">
                  <c:v>181.36661179808183</c:v>
                </c:pt>
                <c:pt idx="28">
                  <c:v>205.05290145857282</c:v>
                </c:pt>
                <c:pt idx="29">
                  <c:v>221.94454203389307</c:v>
                </c:pt>
                <c:pt idx="30">
                  <c:v>189.47380478450563</c:v>
                </c:pt>
                <c:pt idx="31">
                  <c:v>221.13305372023484</c:v>
                </c:pt>
                <c:pt idx="32">
                  <c:v>247.87501623436148</c:v>
                </c:pt>
                <c:pt idx="33">
                  <c:v>250.1725975276936</c:v>
                </c:pt>
                <c:pt idx="34">
                  <c:v>247.10507950104741</c:v>
                </c:pt>
                <c:pt idx="35">
                  <c:v>240.70891189333551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50-44B1-8766-05BCAAD134C6}"/>
            </c:ext>
          </c:extLst>
        </c:ser>
        <c:ser>
          <c:idx val="6"/>
          <c:order val="6"/>
          <c:tx>
            <c:strRef>
              <c:f>'NEW Summary 1990-2025 N2O'!$A$17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1990-2025 N2O'!$B$1:$AK$1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N2O'!$B$17:$AK$17</c:f>
              <c:numCache>
                <c:formatCode>0.00</c:formatCode>
                <c:ptCount val="36"/>
                <c:pt idx="0">
                  <c:v>912.97110999999995</c:v>
                </c:pt>
                <c:pt idx="1">
                  <c:v>722.54131500000005</c:v>
                </c:pt>
                <c:pt idx="2">
                  <c:v>722.77027500000008</c:v>
                </c:pt>
                <c:pt idx="3">
                  <c:v>722.92609500000003</c:v>
                </c:pt>
                <c:pt idx="4">
                  <c:v>723.01990500000011</c:v>
                </c:pt>
                <c:pt idx="5">
                  <c:v>723.142335</c:v>
                </c:pt>
                <c:pt idx="6">
                  <c:v>723.33949500000006</c:v>
                </c:pt>
                <c:pt idx="7">
                  <c:v>723.64318500000002</c:v>
                </c:pt>
                <c:pt idx="8">
                  <c:v>723.9516450000001</c:v>
                </c:pt>
                <c:pt idx="9">
                  <c:v>724.25772000000006</c:v>
                </c:pt>
                <c:pt idx="10">
                  <c:v>724.63852500000007</c:v>
                </c:pt>
                <c:pt idx="11">
                  <c:v>530.11023999999998</c:v>
                </c:pt>
                <c:pt idx="12">
                  <c:v>280.90423999999996</c:v>
                </c:pt>
                <c:pt idx="13">
                  <c:v>31.640204999999998</c:v>
                </c:pt>
                <c:pt idx="14">
                  <c:v>32.15934</c:v>
                </c:pt>
                <c:pt idx="15">
                  <c:v>32.863709999999998</c:v>
                </c:pt>
                <c:pt idx="16">
                  <c:v>33.651554999999995</c:v>
                </c:pt>
                <c:pt idx="17">
                  <c:v>34.787610000000001</c:v>
                </c:pt>
                <c:pt idx="18">
                  <c:v>35.656545000000001</c:v>
                </c:pt>
                <c:pt idx="19">
                  <c:v>36.040529999999997</c:v>
                </c:pt>
                <c:pt idx="20">
                  <c:v>36.210660000000004</c:v>
                </c:pt>
                <c:pt idx="21">
                  <c:v>36.370454999999993</c:v>
                </c:pt>
                <c:pt idx="22">
                  <c:v>36.519914999999997</c:v>
                </c:pt>
                <c:pt idx="23">
                  <c:v>36.686865000000004</c:v>
                </c:pt>
                <c:pt idx="24">
                  <c:v>36.930929999999996</c:v>
                </c:pt>
                <c:pt idx="25">
                  <c:v>37.268009999999997</c:v>
                </c:pt>
                <c:pt idx="26">
                  <c:v>37.679819999999999</c:v>
                </c:pt>
                <c:pt idx="27">
                  <c:v>38.246654999999997</c:v>
                </c:pt>
                <c:pt idx="28">
                  <c:v>38.834955000000001</c:v>
                </c:pt>
                <c:pt idx="29">
                  <c:v>39.420074999999997</c:v>
                </c:pt>
                <c:pt idx="30">
                  <c:v>39.987704999999998</c:v>
                </c:pt>
                <c:pt idx="31">
                  <c:v>40.343864999999994</c:v>
                </c:pt>
                <c:pt idx="32">
                  <c:v>41.212799999999994</c:v>
                </c:pt>
                <c:pt idx="33">
                  <c:v>41.988720000000001</c:v>
                </c:pt>
                <c:pt idx="34">
                  <c:v>42.773384999999998</c:v>
                </c:pt>
                <c:pt idx="35">
                  <c:v>43.395870000000002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50-44B1-8766-05BCAAD134C6}"/>
            </c:ext>
          </c:extLst>
        </c:ser>
        <c:ser>
          <c:idx val="7"/>
          <c:order val="7"/>
          <c:tx>
            <c:strRef>
              <c:f>'NEW Summary 1990-2025 N2O'!$A$23:$B$23</c:f>
              <c:strCache>
                <c:ptCount val="2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1990-2025 N2O'!$B$1:$AK$1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N2O'!$B$23:$AK$23</c:f>
              <c:numCache>
                <c:formatCode>0.00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7-8350-44B1-8766-05BCAAD134C6}"/>
            </c:ext>
          </c:extLst>
        </c:ser>
        <c:ser>
          <c:idx val="8"/>
          <c:order val="8"/>
          <c:tx>
            <c:strRef>
              <c:f>'NEW Summary 1990-2025 N2O'!$A$24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1990-2025 N2O'!$B$1:$AK$1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N2O'!$B$24:$AK$24</c:f>
              <c:numCache>
                <c:formatCode>0.00</c:formatCode>
                <c:ptCount val="36"/>
                <c:pt idx="0">
                  <c:v>5075.3537721129678</c:v>
                </c:pt>
                <c:pt idx="1">
                  <c:v>5039.4892141632399</c:v>
                </c:pt>
                <c:pt idx="2">
                  <c:v>4968.3457209610078</c:v>
                </c:pt>
                <c:pt idx="3">
                  <c:v>5108.5046191295805</c:v>
                </c:pt>
                <c:pt idx="4">
                  <c:v>5298.9536048660984</c:v>
                </c:pt>
                <c:pt idx="5">
                  <c:v>5525.9699439946125</c:v>
                </c:pt>
                <c:pt idx="6">
                  <c:v>5532.4105468179769</c:v>
                </c:pt>
                <c:pt idx="7">
                  <c:v>5369.0502753148294</c:v>
                </c:pt>
                <c:pt idx="8">
                  <c:v>5697.3955686286108</c:v>
                </c:pt>
                <c:pt idx="9">
                  <c:v>5684.7555621169331</c:v>
                </c:pt>
                <c:pt idx="10">
                  <c:v>5408.0051565131262</c:v>
                </c:pt>
                <c:pt idx="11">
                  <c:v>5165.1175529734173</c:v>
                </c:pt>
                <c:pt idx="12">
                  <c:v>5110.3159567343737</c:v>
                </c:pt>
                <c:pt idx="13">
                  <c:v>5284.5644192853279</c:v>
                </c:pt>
                <c:pt idx="14">
                  <c:v>5167.229091080374</c:v>
                </c:pt>
                <c:pt idx="15">
                  <c:v>5038.9153947713085</c:v>
                </c:pt>
                <c:pt idx="16">
                  <c:v>4909.259366655303</c:v>
                </c:pt>
                <c:pt idx="17">
                  <c:v>4770.4044048933783</c:v>
                </c:pt>
                <c:pt idx="18">
                  <c:v>4630.6551706133723</c:v>
                </c:pt>
                <c:pt idx="19">
                  <c:v>4497.2208384741862</c:v>
                </c:pt>
                <c:pt idx="20">
                  <c:v>4768.9141296164953</c:v>
                </c:pt>
                <c:pt idx="21">
                  <c:v>4401.0448887117391</c:v>
                </c:pt>
                <c:pt idx="22">
                  <c:v>4522.6130473104868</c:v>
                </c:pt>
                <c:pt idx="23">
                  <c:v>4862.940109106843</c:v>
                </c:pt>
                <c:pt idx="24">
                  <c:v>4738.1688421660892</c:v>
                </c:pt>
                <c:pt idx="25">
                  <c:v>4770.5012595436719</c:v>
                </c:pt>
                <c:pt idx="26">
                  <c:v>4853.6729022712898</c:v>
                </c:pt>
                <c:pt idx="27">
                  <c:v>5117.1283768213125</c:v>
                </c:pt>
                <c:pt idx="28">
                  <c:v>5330.3650729907222</c:v>
                </c:pt>
                <c:pt idx="29">
                  <c:v>5115.1776512570832</c:v>
                </c:pt>
                <c:pt idx="30">
                  <c:v>5155.7202125194253</c:v>
                </c:pt>
                <c:pt idx="31">
                  <c:v>5318.0121658679282</c:v>
                </c:pt>
                <c:pt idx="32">
                  <c:v>4888.1662170482814</c:v>
                </c:pt>
                <c:pt idx="33">
                  <c:v>4449.3609046108986</c:v>
                </c:pt>
                <c:pt idx="34">
                  <c:v>4514.0890854759464</c:v>
                </c:pt>
                <c:pt idx="35">
                  <c:v>4738.868338639053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350-44B1-8766-05BCAAD134C6}"/>
            </c:ext>
          </c:extLst>
        </c:ser>
        <c:ser>
          <c:idx val="9"/>
          <c:order val="9"/>
          <c:tx>
            <c:strRef>
              <c:f>'NEW Summary 1990-2025 N2O'!$A$32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1990-2025 N2O'!$B$1:$AK$1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N2O'!$B$32:$AK$32</c:f>
              <c:numCache>
                <c:formatCode>0.00</c:formatCode>
                <c:ptCount val="36"/>
                <c:pt idx="0">
                  <c:v>67.798219542501926</c:v>
                </c:pt>
                <c:pt idx="1">
                  <c:v>67.593379996960834</c:v>
                </c:pt>
                <c:pt idx="2">
                  <c:v>68.744773992710961</c:v>
                </c:pt>
                <c:pt idx="3">
                  <c:v>68.533637276454499</c:v>
                </c:pt>
                <c:pt idx="4">
                  <c:v>66.968568190431156</c:v>
                </c:pt>
                <c:pt idx="5">
                  <c:v>66.056218248249593</c:v>
                </c:pt>
                <c:pt idx="6">
                  <c:v>66.502794530335024</c:v>
                </c:pt>
                <c:pt idx="7">
                  <c:v>67.663801775746379</c:v>
                </c:pt>
                <c:pt idx="8">
                  <c:v>70.068946229378355</c:v>
                </c:pt>
                <c:pt idx="9">
                  <c:v>72.795580492591327</c:v>
                </c:pt>
                <c:pt idx="10">
                  <c:v>74.414641337540729</c:v>
                </c:pt>
                <c:pt idx="11">
                  <c:v>77.925850290297277</c:v>
                </c:pt>
                <c:pt idx="12">
                  <c:v>80.595206487177251</c:v>
                </c:pt>
                <c:pt idx="13">
                  <c:v>82.404242416794659</c:v>
                </c:pt>
                <c:pt idx="14">
                  <c:v>92.235364201452057</c:v>
                </c:pt>
                <c:pt idx="15">
                  <c:v>97.734522290194505</c:v>
                </c:pt>
                <c:pt idx="16">
                  <c:v>95.057624932041676</c:v>
                </c:pt>
                <c:pt idx="17">
                  <c:v>96.595258205507889</c:v>
                </c:pt>
                <c:pt idx="18">
                  <c:v>102.13518254178297</c:v>
                </c:pt>
                <c:pt idx="19">
                  <c:v>102.80267555534151</c:v>
                </c:pt>
                <c:pt idx="20">
                  <c:v>108.08528353016953</c:v>
                </c:pt>
                <c:pt idx="21">
                  <c:v>105.99517610264839</c:v>
                </c:pt>
                <c:pt idx="22">
                  <c:v>104.28134486477404</c:v>
                </c:pt>
                <c:pt idx="23">
                  <c:v>108.81084470059663</c:v>
                </c:pt>
                <c:pt idx="24">
                  <c:v>100.99982641595066</c:v>
                </c:pt>
                <c:pt idx="25">
                  <c:v>106.1533535233806</c:v>
                </c:pt>
                <c:pt idx="26">
                  <c:v>108.5457845172442</c:v>
                </c:pt>
                <c:pt idx="27">
                  <c:v>117.24932175417942</c:v>
                </c:pt>
                <c:pt idx="28">
                  <c:v>118.66882762690035</c:v>
                </c:pt>
                <c:pt idx="29">
                  <c:v>121.23860427848054</c:v>
                </c:pt>
                <c:pt idx="30">
                  <c:v>121.97599068291386</c:v>
                </c:pt>
                <c:pt idx="31">
                  <c:v>120.95524864459649</c:v>
                </c:pt>
                <c:pt idx="32">
                  <c:v>122.19017228117707</c:v>
                </c:pt>
                <c:pt idx="33">
                  <c:v>124.30061755302215</c:v>
                </c:pt>
                <c:pt idx="34">
                  <c:v>128.54989524286148</c:v>
                </c:pt>
                <c:pt idx="35">
                  <c:v>129.84841245651529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350-44B1-8766-05BCAAD13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477568"/>
        <c:axId val="228479360"/>
      </c:barChart>
      <c:catAx>
        <c:axId val="22847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8479360"/>
        <c:crosses val="autoZero"/>
        <c:auto val="1"/>
        <c:lblAlgn val="ctr"/>
        <c:lblOffset val="100"/>
        <c:noMultiLvlLbl val="0"/>
      </c:catAx>
      <c:valAx>
        <c:axId val="228479360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22847756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2025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2144048942837025"/>
                  <c:y val="-2.00501574549900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AA-49B2-A87A-4B92EE9C8257}"/>
                </c:ext>
              </c:extLst>
            </c:dLbl>
            <c:dLbl>
              <c:idx val="1"/>
              <c:layout>
                <c:manualLayout>
                  <c:x val="0.21296462921510073"/>
                  <c:y val="2.028083044978027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AA-49B2-A87A-4B92EE9C8257}"/>
                </c:ext>
              </c:extLst>
            </c:dLbl>
            <c:dLbl>
              <c:idx val="2"/>
              <c:layout>
                <c:manualLayout>
                  <c:x val="-0.51668340795632717"/>
                  <c:y val="0.252192141540228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AA-49B2-A87A-4B92EE9C8257}"/>
                </c:ext>
              </c:extLst>
            </c:dLbl>
            <c:dLbl>
              <c:idx val="3"/>
              <c:layout>
                <c:manualLayout>
                  <c:x val="-0.52553993190992643"/>
                  <c:y val="0.4362157982666707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37639810023367"/>
                      <c:h val="9.10795529904973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AAA-49B2-A87A-4B92EE9C8257}"/>
                </c:ext>
              </c:extLst>
            </c:dLbl>
            <c:dLbl>
              <c:idx val="4"/>
              <c:layout>
                <c:manualLayout>
                  <c:x val="0.28392074304215942"/>
                  <c:y val="0.3938413179038354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AA-49B2-A87A-4B92EE9C8257}"/>
                </c:ext>
              </c:extLst>
            </c:dLbl>
            <c:dLbl>
              <c:idx val="5"/>
              <c:layout>
                <c:manualLayout>
                  <c:x val="0.19558375840940143"/>
                  <c:y val="0.1028663186716205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AA-49B2-A87A-4B92EE9C8257}"/>
                </c:ext>
              </c:extLst>
            </c:dLbl>
            <c:dLbl>
              <c:idx val="6"/>
              <c:layout>
                <c:manualLayout>
                  <c:x val="0.2295325074712582"/>
                  <c:y val="0.2418883292035877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AA-49B2-A87A-4B92EE9C8257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AA-49B2-A87A-4B92EE9C8257}"/>
                </c:ext>
              </c:extLst>
            </c:dLbl>
            <c:dLbl>
              <c:idx val="8"/>
              <c:layout>
                <c:manualLayout>
                  <c:x val="-0.12714140882042388"/>
                  <c:y val="-8.29612810231553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AA-49B2-A87A-4B92EE9C8257}"/>
                </c:ext>
              </c:extLst>
            </c:dLbl>
            <c:dLbl>
              <c:idx val="9"/>
              <c:layout>
                <c:manualLayout>
                  <c:x val="-0.25079573710207886"/>
                  <c:y val="4.528007953915349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AA-49B2-A87A-4B92EE9C825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1990-2025 N2O'!$A$2,'NEW Summary 1990-2025 N2O'!$A$7,'NEW Summary 1990-2025 N2O'!$A$8,'NEW Summary 1990-2025 N2O'!$A$9,'NEW Summary 1990-2025 N2O'!$A$10,'NEW Summary 1990-2025 N2O'!$A$11,'NEW Summary 1990-2025 N2O'!$A$17,'NEW Summary 1990-2025 N2O'!$A$23,'NEW Summary 1990-2025 N2O'!$A$24,'NEW Summary 1990-2025 N2O'!$A$32)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1990-2025 N2O'!$AK$2,'NEW Summary 1990-2025 N2O'!$AK$7,'NEW Summary 1990-2025 N2O'!$AK$8,'NEW Summary 1990-2025 N2O'!$AK$9,'NEW Summary 1990-2025 N2O'!$AK$10,'NEW Summary 1990-2025 N2O'!$AK$11,'NEW Summary 1990-2025 N2O'!$AK$17,'NEW Summary 1990-2025 N2O'!$AK$23,'NEW Summary 1990-2025 N2O'!$AK$24,'NEW Summary 1990-2025 N2O'!$AK$32)</c:f>
              <c:numCache>
                <c:formatCode>0.00</c:formatCode>
                <c:ptCount val="10"/>
                <c:pt idx="0">
                  <c:v>89.70022665090363</c:v>
                </c:pt>
                <c:pt idx="1">
                  <c:v>12.036144728817218</c:v>
                </c:pt>
                <c:pt idx="2">
                  <c:v>49.191107933877397</c:v>
                </c:pt>
                <c:pt idx="3">
                  <c:v>1.0856907889702496</c:v>
                </c:pt>
                <c:pt idx="4">
                  <c:v>1.3258638869500077</c:v>
                </c:pt>
                <c:pt idx="5">
                  <c:v>240.70891189333551</c:v>
                </c:pt>
                <c:pt idx="6">
                  <c:v>43.395870000000002</c:v>
                </c:pt>
                <c:pt idx="8">
                  <c:v>4738.868338639053</c:v>
                </c:pt>
                <c:pt idx="9">
                  <c:v>129.84841245651529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AAA-49B2-A87A-4B92EE9C8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4425539006275495"/>
                  <c:y val="-1.1050778850877387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3D-4DE2-87E2-FDA570115127}"/>
                </c:ext>
              </c:extLst>
            </c:dLbl>
            <c:dLbl>
              <c:idx val="1"/>
              <c:layout>
                <c:manualLayout>
                  <c:x val="0.19367744476369592"/>
                  <c:y val="2.282502838056241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3D-4DE2-87E2-FDA570115127}"/>
                </c:ext>
              </c:extLst>
            </c:dLbl>
            <c:dLbl>
              <c:idx val="2"/>
              <c:layout>
                <c:manualLayout>
                  <c:x val="-0.46355850402996657"/>
                  <c:y val="0.301564000125967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3D-4DE2-87E2-FDA570115127}"/>
                </c:ext>
              </c:extLst>
            </c:dLbl>
            <c:dLbl>
              <c:idx val="3"/>
              <c:layout>
                <c:manualLayout>
                  <c:x val="-0.46370751932751814"/>
                  <c:y val="0.4240075391842059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3D-4DE2-87E2-FDA570115127}"/>
                </c:ext>
              </c:extLst>
            </c:dLbl>
            <c:dLbl>
              <c:idx val="4"/>
              <c:layout>
                <c:manualLayout>
                  <c:x val="0.32820424239530466"/>
                  <c:y val="0.4730270562203742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3D-4DE2-87E2-FDA570115127}"/>
                </c:ext>
              </c:extLst>
            </c:dLbl>
            <c:dLbl>
              <c:idx val="5"/>
              <c:layout>
                <c:manualLayout>
                  <c:x val="0.29424326599090178"/>
                  <c:y val="0.1647448494394533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3D-4DE2-87E2-FDA570115127}"/>
                </c:ext>
              </c:extLst>
            </c:dLbl>
            <c:dLbl>
              <c:idx val="6"/>
              <c:layout>
                <c:manualLayout>
                  <c:x val="0.10646136571662003"/>
                  <c:y val="4.276930968670991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3D-4DE2-87E2-FDA570115127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3D-4DE2-87E2-FDA570115127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3D-4DE2-87E2-FDA570115127}"/>
                </c:ext>
              </c:extLst>
            </c:dLbl>
            <c:dLbl>
              <c:idx val="9"/>
              <c:layout>
                <c:manualLayout>
                  <c:x val="-0.29833096625263822"/>
                  <c:y val="7.361078388957439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3D-4DE2-87E2-FDA57011512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1990-2025 N2O'!$A$2,'NEW Summary 1990-2025 N2O'!$A$7,'NEW Summary 1990-2025 N2O'!$A$8,'NEW Summary 1990-2025 N2O'!$A$9,'NEW Summary 1990-2025 N2O'!$A$10,'NEW Summary 1990-2025 N2O'!$A$11,'NEW Summary 1990-2025 N2O'!$A$17,'NEW Summary 1990-2025 N2O'!$A$23,'NEW Summary 1990-2025 N2O'!$A$24,'NEW Summary 1990-2025 N2O'!$A$32)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1990-2025 N2O'!$B$2,'NEW Summary 1990-2025 N2O'!$B$7,'NEW Summary 1990-2025 N2O'!$B$8,'NEW Summary 1990-2025 N2O'!$B$9,'NEW Summary 1990-2025 N2O'!$B$10,'NEW Summary 1990-2025 N2O'!$B$11,'NEW Summary 1990-2025 N2O'!$B$17,'NEW Summary 1990-2025 N2O'!$B$23,'NEW Summary 1990-2025 N2O'!$B$24,'NEW Summary 1990-2025 N2O'!$B$32)</c:f>
              <c:numCache>
                <c:formatCode>0.00</c:formatCode>
                <c:ptCount val="10"/>
                <c:pt idx="0">
                  <c:v>63.580266645074424</c:v>
                </c:pt>
                <c:pt idx="1">
                  <c:v>25.992683308900371</c:v>
                </c:pt>
                <c:pt idx="2">
                  <c:v>28.102143050037981</c:v>
                </c:pt>
                <c:pt idx="3">
                  <c:v>1.9744875547323375</c:v>
                </c:pt>
                <c:pt idx="4">
                  <c:v>2.3754883246932752</c:v>
                </c:pt>
                <c:pt idx="5">
                  <c:v>58.63824807893063</c:v>
                </c:pt>
                <c:pt idx="6">
                  <c:v>912.97110999999995</c:v>
                </c:pt>
                <c:pt idx="8">
                  <c:v>5075.3537721129678</c:v>
                </c:pt>
                <c:pt idx="9">
                  <c:v>67.798219542501926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3D-4DE2-87E2-FDA570115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862581671971856"/>
          <c:y val="3.2949149716677478E-2"/>
          <c:w val="0.8734551432400737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'NON-ETS &amp; ETS'!$A$2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'NON-ETS &amp; ETS'!$B$1:$AK$1</c:f>
              <c:numCache>
                <c:formatCode>General</c:formatCode>
                <c:ptCount val="22"/>
                <c:pt idx="0">
                  <c:v>1990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'NON-ETS &amp; ETS'!$B$2:$AK$2</c:f>
              <c:numCache>
                <c:formatCode>0.00</c:formatCode>
                <c:ptCount val="22"/>
                <c:pt idx="1">
                  <c:v>15719.021411847914</c:v>
                </c:pt>
                <c:pt idx="2">
                  <c:v>14959.151681255073</c:v>
                </c:pt>
                <c:pt idx="3">
                  <c:v>14458.892999221416</c:v>
                </c:pt>
                <c:pt idx="4">
                  <c:v>14555.154855455741</c:v>
                </c:pt>
                <c:pt idx="5">
                  <c:v>12972.031248500442</c:v>
                </c:pt>
                <c:pt idx="6">
                  <c:v>13227.937453998806</c:v>
                </c:pt>
                <c:pt idx="7">
                  <c:v>11824.35745980615</c:v>
                </c:pt>
                <c:pt idx="8">
                  <c:v>12593.824698066823</c:v>
                </c:pt>
                <c:pt idx="9">
                  <c:v>11198.169341650571</c:v>
                </c:pt>
                <c:pt idx="10">
                  <c:v>10972.469162066225</c:v>
                </c:pt>
                <c:pt idx="11">
                  <c:v>11578.789994507219</c:v>
                </c:pt>
                <c:pt idx="12">
                  <c:v>12286.104701953025</c:v>
                </c:pt>
                <c:pt idx="13">
                  <c:v>11313.95802633064</c:v>
                </c:pt>
                <c:pt idx="14">
                  <c:v>9796.7234036268565</c:v>
                </c:pt>
                <c:pt idx="15">
                  <c:v>8566.810014231598</c:v>
                </c:pt>
                <c:pt idx="16">
                  <c:v>7917.1249248464101</c:v>
                </c:pt>
                <c:pt idx="17">
                  <c:v>9478.8030108280964</c:v>
                </c:pt>
                <c:pt idx="18">
                  <c:v>9280.3639186287528</c:v>
                </c:pt>
                <c:pt idx="19">
                  <c:v>7128.6881311509724</c:v>
                </c:pt>
                <c:pt idx="20">
                  <c:v>6524.7299559397925</c:v>
                </c:pt>
                <c:pt idx="21">
                  <c:v>6044.4950528989466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5-4D04-BB3E-03B63ADA4C58}"/>
            </c:ext>
          </c:extLst>
        </c:ser>
        <c:ser>
          <c:idx val="1"/>
          <c:order val="1"/>
          <c:tx>
            <c:strRef>
              <c:f>'NON-ETS &amp; ETS'!$A$7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'NON-ETS &amp; ETS'!$B$1:$AK$1</c:f>
              <c:numCache>
                <c:formatCode>General</c:formatCode>
                <c:ptCount val="22"/>
                <c:pt idx="0">
                  <c:v>1990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'NON-ETS &amp; ETS'!$B$7:$AK$7</c:f>
              <c:numCache>
                <c:formatCode>0.00</c:formatCode>
                <c:ptCount val="22"/>
                <c:pt idx="1">
                  <c:v>12.278</c:v>
                </c:pt>
                <c:pt idx="2">
                  <c:v>13.089</c:v>
                </c:pt>
                <c:pt idx="3">
                  <c:v>10.417243245727319</c:v>
                </c:pt>
                <c:pt idx="4">
                  <c:v>8.3070047782178875</c:v>
                </c:pt>
                <c:pt idx="5">
                  <c:v>6.8478554607194972</c:v>
                </c:pt>
                <c:pt idx="6">
                  <c:v>3.6471999415289922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B5-4D04-BB3E-03B63ADA4C58}"/>
            </c:ext>
          </c:extLst>
        </c:ser>
        <c:ser>
          <c:idx val="2"/>
          <c:order val="2"/>
          <c:tx>
            <c:strRef>
              <c:f>'NON-ETS &amp; ETS'!$A$8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'NON-ETS &amp; ETS'!$B$1:$AK$1</c:f>
              <c:numCache>
                <c:formatCode>General</c:formatCode>
                <c:ptCount val="22"/>
                <c:pt idx="0">
                  <c:v>1990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'NON-ETS &amp; ETS'!$B$8:$AK$8</c:f>
              <c:numCache>
                <c:formatCode>0.00</c:formatCode>
                <c:ptCount val="22"/>
                <c:pt idx="1">
                  <c:v>4042.0727961973371</c:v>
                </c:pt>
                <c:pt idx="2">
                  <c:v>4123.9908570655425</c:v>
                </c:pt>
                <c:pt idx="3">
                  <c:v>4122.0106194276887</c:v>
                </c:pt>
                <c:pt idx="4">
                  <c:v>3482.4003175765129</c:v>
                </c:pt>
                <c:pt idx="5">
                  <c:v>2716.5159229903684</c:v>
                </c:pt>
                <c:pt idx="6">
                  <c:v>2786.5860440435677</c:v>
                </c:pt>
                <c:pt idx="7">
                  <c:v>2728.9974418322449</c:v>
                </c:pt>
                <c:pt idx="8">
                  <c:v>2826.1715588690613</c:v>
                </c:pt>
                <c:pt idx="9">
                  <c:v>3156.2521151593978</c:v>
                </c:pt>
                <c:pt idx="10">
                  <c:v>3307.1907811662277</c:v>
                </c:pt>
                <c:pt idx="11">
                  <c:v>3381.3059166632515</c:v>
                </c:pt>
                <c:pt idx="12">
                  <c:v>3403.4662263405648</c:v>
                </c:pt>
                <c:pt idx="13">
                  <c:v>3461.9832526558444</c:v>
                </c:pt>
                <c:pt idx="14">
                  <c:v>3524.7969468818064</c:v>
                </c:pt>
                <c:pt idx="15">
                  <c:v>3450.6214636607015</c:v>
                </c:pt>
                <c:pt idx="16">
                  <c:v>3384.9195476706655</c:v>
                </c:pt>
                <c:pt idx="17">
                  <c:v>3492.9703545712846</c:v>
                </c:pt>
                <c:pt idx="18">
                  <c:v>3250.4614169365586</c:v>
                </c:pt>
                <c:pt idx="19">
                  <c:v>3073.3853439880113</c:v>
                </c:pt>
                <c:pt idx="20">
                  <c:v>3031.17762690264</c:v>
                </c:pt>
                <c:pt idx="21">
                  <c:v>2943.4309141003077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B5-4D04-BB3E-03B63ADA4C58}"/>
            </c:ext>
          </c:extLst>
        </c:ser>
        <c:ser>
          <c:idx val="3"/>
          <c:order val="3"/>
          <c:tx>
            <c:strRef>
              <c:f>'NON-ETS &amp; ETS'!$A$9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'NON-ETS &amp; ETS'!$B$1:$AK$1</c:f>
              <c:numCache>
                <c:formatCode>General</c:formatCode>
                <c:ptCount val="22"/>
                <c:pt idx="0">
                  <c:v>1990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'NON-ETS &amp; ETS'!$B$9:$AK$9</c:f>
              <c:numCache>
                <c:formatCode>0.00</c:formatCode>
                <c:ptCount val="22"/>
                <c:pt idx="1">
                  <c:v>64.926000000000002</c:v>
                </c:pt>
                <c:pt idx="2">
                  <c:v>63.868406999999998</c:v>
                </c:pt>
                <c:pt idx="3">
                  <c:v>70.956616544456324</c:v>
                </c:pt>
                <c:pt idx="4">
                  <c:v>33.416250088031219</c:v>
                </c:pt>
                <c:pt idx="5">
                  <c:v>31.79288140380924</c:v>
                </c:pt>
                <c:pt idx="6">
                  <c:v>31.663645199679603</c:v>
                </c:pt>
                <c:pt idx="7">
                  <c:v>28.211685933016891</c:v>
                </c:pt>
                <c:pt idx="8">
                  <c:v>30.72817312111793</c:v>
                </c:pt>
                <c:pt idx="9">
                  <c:v>29.482885860202845</c:v>
                </c:pt>
                <c:pt idx="10">
                  <c:v>24.48288777967397</c:v>
                </c:pt>
                <c:pt idx="11">
                  <c:v>26.397770096476933</c:v>
                </c:pt>
                <c:pt idx="12">
                  <c:v>28.395191724118078</c:v>
                </c:pt>
                <c:pt idx="13">
                  <c:v>30.662585578663112</c:v>
                </c:pt>
                <c:pt idx="14">
                  <c:v>50.347795046594555</c:v>
                </c:pt>
                <c:pt idx="15">
                  <c:v>47.474662917087571</c:v>
                </c:pt>
                <c:pt idx="16">
                  <c:v>51.651432186563362</c:v>
                </c:pt>
                <c:pt idx="17">
                  <c:v>53.412018889460292</c:v>
                </c:pt>
                <c:pt idx="18">
                  <c:v>49.939243389234385</c:v>
                </c:pt>
                <c:pt idx="19">
                  <c:v>17.787734688710735</c:v>
                </c:pt>
                <c:pt idx="20">
                  <c:v>45.712578858579256</c:v>
                </c:pt>
                <c:pt idx="21">
                  <c:v>21.185794803403454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B5-4D04-BB3E-03B63ADA4C58}"/>
            </c:ext>
          </c:extLst>
        </c:ser>
        <c:ser>
          <c:idx val="4"/>
          <c:order val="4"/>
          <c:tx>
            <c:strRef>
              <c:f>'NON-ETS &amp; ETS'!$A$10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'NON-ETS &amp; ETS'!$B$1:$AK$1</c:f>
              <c:numCache>
                <c:formatCode>General</c:formatCode>
                <c:ptCount val="22"/>
                <c:pt idx="0">
                  <c:v>1990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'NON-ETS &amp; ETS'!$B$10:$AK$10</c:f>
              <c:numCache>
                <c:formatCode>0.00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4-3CB5-4D04-BB3E-03B63ADA4C58}"/>
            </c:ext>
          </c:extLst>
        </c:ser>
        <c:ser>
          <c:idx val="5"/>
          <c:order val="5"/>
          <c:tx>
            <c:strRef>
              <c:f>'NON-ETS &amp; ETS'!$A$11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'NON-ETS &amp; ETS'!$B$1:$AK$1</c:f>
              <c:numCache>
                <c:formatCode>General</c:formatCode>
                <c:ptCount val="22"/>
                <c:pt idx="0">
                  <c:v>1990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'NON-ETS &amp; ETS'!$B$11:$AK$11</c:f>
              <c:numCache>
                <c:formatCode>0.00</c:formatCode>
                <c:ptCount val="22"/>
                <c:pt idx="1">
                  <c:v>5.1159999999999997</c:v>
                </c:pt>
                <c:pt idx="2">
                  <c:v>4.2716099999999999</c:v>
                </c:pt>
                <c:pt idx="3">
                  <c:v>3.101728291205335</c:v>
                </c:pt>
                <c:pt idx="4">
                  <c:v>2.9315081871496815</c:v>
                </c:pt>
                <c:pt idx="5">
                  <c:v>3.0324879905525566</c:v>
                </c:pt>
                <c:pt idx="6">
                  <c:v>4.9326153469153704</c:v>
                </c:pt>
                <c:pt idx="7">
                  <c:v>8.5287417366405105</c:v>
                </c:pt>
                <c:pt idx="8">
                  <c:v>9.7080553508898877</c:v>
                </c:pt>
                <c:pt idx="9">
                  <c:v>23.353385157267546</c:v>
                </c:pt>
                <c:pt idx="10">
                  <c:v>21.098490774316744</c:v>
                </c:pt>
                <c:pt idx="11">
                  <c:v>24.709119890620233</c:v>
                </c:pt>
                <c:pt idx="12">
                  <c:v>66.211197297986558</c:v>
                </c:pt>
                <c:pt idx="13">
                  <c:v>64.471916779725561</c:v>
                </c:pt>
                <c:pt idx="14">
                  <c:v>68.973586135067677</c:v>
                </c:pt>
                <c:pt idx="15">
                  <c:v>57.251358028294106</c:v>
                </c:pt>
                <c:pt idx="16">
                  <c:v>48.707379389952663</c:v>
                </c:pt>
                <c:pt idx="17">
                  <c:v>54.669661067922725</c:v>
                </c:pt>
                <c:pt idx="18">
                  <c:v>58.477715644543437</c:v>
                </c:pt>
                <c:pt idx="19">
                  <c:v>57.574880644043922</c:v>
                </c:pt>
                <c:pt idx="20">
                  <c:v>62.813355346828949</c:v>
                </c:pt>
                <c:pt idx="21">
                  <c:v>63.85509694980118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B5-4D04-BB3E-03B63ADA4C58}"/>
            </c:ext>
          </c:extLst>
        </c:ser>
        <c:ser>
          <c:idx val="6"/>
          <c:order val="6"/>
          <c:tx>
            <c:strRef>
              <c:f>'NON-ETS &amp; ETS'!$A$17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'NON-ETS &amp; ETS'!$B$1:$AK$1</c:f>
              <c:numCache>
                <c:formatCode>General</c:formatCode>
                <c:ptCount val="22"/>
                <c:pt idx="0">
                  <c:v>1990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'NON-ETS &amp; ETS'!$B$17:$AK$17</c:f>
              <c:numCache>
                <c:formatCode>0.00</c:formatCode>
                <c:ptCount val="22"/>
                <c:pt idx="1">
                  <c:v>2554.6837901100002</c:v>
                </c:pt>
                <c:pt idx="2">
                  <c:v>2538.7627910778574</c:v>
                </c:pt>
                <c:pt idx="3">
                  <c:v>2580.4341213620519</c:v>
                </c:pt>
                <c:pt idx="4">
                  <c:v>2302.2359797601521</c:v>
                </c:pt>
                <c:pt idx="5">
                  <c:v>1485.3521500814029</c:v>
                </c:pt>
                <c:pt idx="6">
                  <c:v>1299.0484147465625</c:v>
                </c:pt>
                <c:pt idx="7">
                  <c:v>1167.2705389694759</c:v>
                </c:pt>
                <c:pt idx="8">
                  <c:v>1391.9677990924167</c:v>
                </c:pt>
                <c:pt idx="9">
                  <c:v>1301.6950015306572</c:v>
                </c:pt>
                <c:pt idx="10">
                  <c:v>1650.4531530457709</c:v>
                </c:pt>
                <c:pt idx="11">
                  <c:v>1830.3635214124333</c:v>
                </c:pt>
                <c:pt idx="12">
                  <c:v>1968.401352033223</c:v>
                </c:pt>
                <c:pt idx="13">
                  <c:v>2039.8562560230889</c:v>
                </c:pt>
                <c:pt idx="14">
                  <c:v>2094.5489797619252</c:v>
                </c:pt>
                <c:pt idx="15">
                  <c:v>2057.6690466445225</c:v>
                </c:pt>
                <c:pt idx="16">
                  <c:v>1907.1635602316842</c:v>
                </c:pt>
                <c:pt idx="17">
                  <c:v>2256.9405207619097</c:v>
                </c:pt>
                <c:pt idx="18">
                  <c:v>2068.3747685666494</c:v>
                </c:pt>
                <c:pt idx="19">
                  <c:v>1933.8876215143532</c:v>
                </c:pt>
                <c:pt idx="20">
                  <c:v>1654.3221432294365</c:v>
                </c:pt>
                <c:pt idx="21">
                  <c:v>1622.103184702383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B5-4D04-BB3E-03B63ADA4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5946624"/>
        <c:axId val="225948416"/>
      </c:barChart>
      <c:catAx>
        <c:axId val="2259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948416"/>
        <c:crosses val="autoZero"/>
        <c:auto val="1"/>
        <c:lblAlgn val="ctr"/>
        <c:lblOffset val="100"/>
        <c:noMultiLvlLbl val="0"/>
      </c:catAx>
      <c:valAx>
        <c:axId val="225948416"/>
        <c:scaling>
          <c:orientation val="minMax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4257578436287062E-2"/>
              <c:y val="0.2391590010155236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22594662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224721257101344E-2"/>
          <c:y val="3.2949149716677478E-2"/>
          <c:w val="0.87035278879957234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'NON-ETS &amp; ETS'!$A$81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'NON-ETS &amp; ETS'!$B$80:$AK$80</c:f>
              <c:numCache>
                <c:formatCode>General</c:formatCode>
                <c:ptCount val="22"/>
                <c:pt idx="0">
                  <c:v>1990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'NON-ETS &amp; ETS'!$B$81:$AK$81</c:f>
              <c:numCache>
                <c:formatCode>0.00</c:formatCode>
                <c:ptCount val="22"/>
                <c:pt idx="0">
                  <c:v>11315.301005472866</c:v>
                </c:pt>
                <c:pt idx="1">
                  <c:v>144.18642251122242</c:v>
                </c:pt>
                <c:pt idx="2">
                  <c:v>159.85025704861485</c:v>
                </c:pt>
                <c:pt idx="3">
                  <c:v>171.23940642311609</c:v>
                </c:pt>
                <c:pt idx="4">
                  <c:v>186.63865341512903</c:v>
                </c:pt>
                <c:pt idx="5">
                  <c:v>178.06604096190748</c:v>
                </c:pt>
                <c:pt idx="6">
                  <c:v>184.40262631098</c:v>
                </c:pt>
                <c:pt idx="7">
                  <c:v>189.99707664700281</c:v>
                </c:pt>
                <c:pt idx="8">
                  <c:v>262.32005769157871</c:v>
                </c:pt>
                <c:pt idx="9">
                  <c:v>296.18815641712621</c:v>
                </c:pt>
                <c:pt idx="10">
                  <c:v>363.18733328415465</c:v>
                </c:pt>
                <c:pt idx="11">
                  <c:v>319.65114719975685</c:v>
                </c:pt>
                <c:pt idx="12">
                  <c:v>334.4897426058568</c:v>
                </c:pt>
                <c:pt idx="13">
                  <c:v>495.88183269055423</c:v>
                </c:pt>
                <c:pt idx="14">
                  <c:v>689.20004963000088</c:v>
                </c:pt>
                <c:pt idx="15">
                  <c:v>668.99201903362643</c:v>
                </c:pt>
                <c:pt idx="16">
                  <c:v>672.614708102907</c:v>
                </c:pt>
                <c:pt idx="17">
                  <c:v>634.1682880537121</c:v>
                </c:pt>
                <c:pt idx="18">
                  <c:v>647.70360359656536</c:v>
                </c:pt>
                <c:pt idx="19">
                  <c:v>655.73923410952295</c:v>
                </c:pt>
                <c:pt idx="20">
                  <c:v>570.34968996260886</c:v>
                </c:pt>
                <c:pt idx="21">
                  <c:v>545.06086794551572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6-4116-B054-EFD924508E8F}"/>
            </c:ext>
          </c:extLst>
        </c:ser>
        <c:ser>
          <c:idx val="1"/>
          <c:order val="1"/>
          <c:tx>
            <c:strRef>
              <c:f>'NON-ETS &amp; ETS'!$A$86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'NON-ETS &amp; ETS'!$B$80:$AK$80</c:f>
              <c:numCache>
                <c:formatCode>General</c:formatCode>
                <c:ptCount val="22"/>
                <c:pt idx="0">
                  <c:v>1990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'NON-ETS &amp; ETS'!$B$86:$AK$86</c:f>
              <c:numCache>
                <c:formatCode>0.00</c:formatCode>
                <c:ptCount val="22"/>
                <c:pt idx="0">
                  <c:v>7569.7124798227551</c:v>
                </c:pt>
                <c:pt idx="1">
                  <c:v>8151.9814411342359</c:v>
                </c:pt>
                <c:pt idx="2">
                  <c:v>8029.9685101418772</c:v>
                </c:pt>
                <c:pt idx="3">
                  <c:v>7871.8168420746752</c:v>
                </c:pt>
                <c:pt idx="4">
                  <c:v>8660.181136123947</c:v>
                </c:pt>
                <c:pt idx="5">
                  <c:v>8538.1153576946745</c:v>
                </c:pt>
                <c:pt idx="6">
                  <c:v>8855.433209313027</c:v>
                </c:pt>
                <c:pt idx="7">
                  <c:v>7629.7194176636076</c:v>
                </c:pt>
                <c:pt idx="8">
                  <c:v>7147.388466027287</c:v>
                </c:pt>
                <c:pt idx="9">
                  <c:v>6939.97722702997</c:v>
                </c:pt>
                <c:pt idx="10">
                  <c:v>6245.7821397262342</c:v>
                </c:pt>
                <c:pt idx="11">
                  <c:v>6641.2571316932199</c:v>
                </c:pt>
                <c:pt idx="12">
                  <c:v>6889.0510079993564</c:v>
                </c:pt>
                <c:pt idx="13">
                  <c:v>6331.1002822400478</c:v>
                </c:pt>
                <c:pt idx="14">
                  <c:v>6823.5957184152885</c:v>
                </c:pt>
                <c:pt idx="15">
                  <c:v>6546.4494481728379</c:v>
                </c:pt>
                <c:pt idx="16">
                  <c:v>7192.2701968693018</c:v>
                </c:pt>
                <c:pt idx="17">
                  <c:v>6709.3212480257052</c:v>
                </c:pt>
                <c:pt idx="18">
                  <c:v>5621.4616126785768</c:v>
                </c:pt>
                <c:pt idx="19">
                  <c:v>5230.0164671887314</c:v>
                </c:pt>
                <c:pt idx="20">
                  <c:v>5485.8889892812058</c:v>
                </c:pt>
                <c:pt idx="21">
                  <c:v>5211.7931715401201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86-4116-B054-EFD924508E8F}"/>
            </c:ext>
          </c:extLst>
        </c:ser>
        <c:ser>
          <c:idx val="2"/>
          <c:order val="2"/>
          <c:tx>
            <c:strRef>
              <c:f>'NON-ETS &amp; ETS'!$A$87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'NON-ETS &amp; ETS'!$B$80:$AK$80</c:f>
              <c:numCache>
                <c:formatCode>General</c:formatCode>
                <c:ptCount val="22"/>
                <c:pt idx="0">
                  <c:v>1990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'NON-ETS &amp; ETS'!$B$87:$AK$87</c:f>
              <c:numCache>
                <c:formatCode>0.00</c:formatCode>
                <c:ptCount val="22"/>
                <c:pt idx="0">
                  <c:v>4093.5373960846191</c:v>
                </c:pt>
                <c:pt idx="1">
                  <c:v>1610.8464080374906</c:v>
                </c:pt>
                <c:pt idx="2">
                  <c:v>1326.9100077215935</c:v>
                </c:pt>
                <c:pt idx="3">
                  <c:v>1403.6120535288128</c:v>
                </c:pt>
                <c:pt idx="4">
                  <c:v>1869.9422764487354</c:v>
                </c:pt>
                <c:pt idx="5">
                  <c:v>1614.4771424351275</c:v>
                </c:pt>
                <c:pt idx="6">
                  <c:v>1486.3938556831758</c:v>
                </c:pt>
                <c:pt idx="7">
                  <c:v>1114.9935336866488</c:v>
                </c:pt>
                <c:pt idx="8">
                  <c:v>1098.7760784611246</c:v>
                </c:pt>
                <c:pt idx="9">
                  <c:v>993.46185098472824</c:v>
                </c:pt>
                <c:pt idx="10">
                  <c:v>904.43718239294594</c:v>
                </c:pt>
                <c:pt idx="11">
                  <c:v>939.40022475661544</c:v>
                </c:pt>
                <c:pt idx="12">
                  <c:v>1003.2865270131265</c:v>
                </c:pt>
                <c:pt idx="13">
                  <c:v>1174.1936543693123</c:v>
                </c:pt>
                <c:pt idx="14">
                  <c:v>1312.3630162285399</c:v>
                </c:pt>
                <c:pt idx="15">
                  <c:v>1312.5248320094829</c:v>
                </c:pt>
                <c:pt idx="16">
                  <c:v>1409.2685311257228</c:v>
                </c:pt>
                <c:pt idx="17">
                  <c:v>1293.3368731627679</c:v>
                </c:pt>
                <c:pt idx="18">
                  <c:v>1280.4629348837689</c:v>
                </c:pt>
                <c:pt idx="19">
                  <c:v>1251.2714932521349</c:v>
                </c:pt>
                <c:pt idx="20">
                  <c:v>1300.575760336616</c:v>
                </c:pt>
                <c:pt idx="21">
                  <c:v>1218.1400724232635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86-4116-B054-EFD924508E8F}"/>
            </c:ext>
          </c:extLst>
        </c:ser>
        <c:ser>
          <c:idx val="3"/>
          <c:order val="3"/>
          <c:tx>
            <c:strRef>
              <c:f>'NON-ETS &amp; ETS'!$A$88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'NON-ETS &amp; ETS'!$B$80:$AK$80</c:f>
              <c:numCache>
                <c:formatCode>General</c:formatCode>
                <c:ptCount val="22"/>
                <c:pt idx="0">
                  <c:v>1990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'NON-ETS &amp; ETS'!$B$88:$AK$88</c:f>
              <c:numCache>
                <c:formatCode>0.00</c:formatCode>
                <c:ptCount val="22"/>
                <c:pt idx="0">
                  <c:v>1009.6756971444248</c:v>
                </c:pt>
                <c:pt idx="1">
                  <c:v>1021.3049481197587</c:v>
                </c:pt>
                <c:pt idx="2">
                  <c:v>1016.7302094769949</c:v>
                </c:pt>
                <c:pt idx="3">
                  <c:v>1007.8924866263586</c:v>
                </c:pt>
                <c:pt idx="4">
                  <c:v>1093.0212172940057</c:v>
                </c:pt>
                <c:pt idx="5">
                  <c:v>860.19712223076453</c:v>
                </c:pt>
                <c:pt idx="6">
                  <c:v>950.59572110386273</c:v>
                </c:pt>
                <c:pt idx="7">
                  <c:v>870.72334144272384</c:v>
                </c:pt>
                <c:pt idx="8">
                  <c:v>900.85645758728754</c:v>
                </c:pt>
                <c:pt idx="9">
                  <c:v>902.06859900643269</c:v>
                </c:pt>
                <c:pt idx="10">
                  <c:v>839.98068863162166</c:v>
                </c:pt>
                <c:pt idx="11">
                  <c:v>899.47750828686401</c:v>
                </c:pt>
                <c:pt idx="12">
                  <c:v>828.65060916322784</c:v>
                </c:pt>
                <c:pt idx="13">
                  <c:v>754.99242113940954</c:v>
                </c:pt>
                <c:pt idx="14">
                  <c:v>803.11767842751271</c:v>
                </c:pt>
                <c:pt idx="15">
                  <c:v>757.91230067687161</c:v>
                </c:pt>
                <c:pt idx="16">
                  <c:v>611.45184306041313</c:v>
                </c:pt>
                <c:pt idx="17">
                  <c:v>665.33706575755627</c:v>
                </c:pt>
                <c:pt idx="18">
                  <c:v>640.78148392222283</c:v>
                </c:pt>
                <c:pt idx="19">
                  <c:v>670.08971394227331</c:v>
                </c:pt>
                <c:pt idx="20">
                  <c:v>696.36025924936814</c:v>
                </c:pt>
                <c:pt idx="21">
                  <c:v>690.92811378369652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86-4116-B054-EFD924508E8F}"/>
            </c:ext>
          </c:extLst>
        </c:ser>
        <c:ser>
          <c:idx val="4"/>
          <c:order val="4"/>
          <c:tx>
            <c:strRef>
              <c:f>'NON-ETS &amp; ETS'!$A$89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'NON-ETS &amp; ETS'!$B$80:$AK$80</c:f>
              <c:numCache>
                <c:formatCode>General</c:formatCode>
                <c:ptCount val="22"/>
                <c:pt idx="0">
                  <c:v>1990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'NON-ETS &amp; ETS'!$B$89:$AK$89</c:f>
              <c:numCache>
                <c:formatCode>0.00</c:formatCode>
                <c:ptCount val="22"/>
                <c:pt idx="0">
                  <c:v>1123.0310909969073</c:v>
                </c:pt>
                <c:pt idx="1">
                  <c:v>652.46294480390372</c:v>
                </c:pt>
                <c:pt idx="2">
                  <c:v>628.45014163405415</c:v>
                </c:pt>
                <c:pt idx="3">
                  <c:v>591.83133326778204</c:v>
                </c:pt>
                <c:pt idx="4">
                  <c:v>591.12266295214692</c:v>
                </c:pt>
                <c:pt idx="5">
                  <c:v>494.04984817162602</c:v>
                </c:pt>
                <c:pt idx="6">
                  <c:v>519.87114526083337</c:v>
                </c:pt>
                <c:pt idx="7">
                  <c:v>470.63039680007523</c:v>
                </c:pt>
                <c:pt idx="8">
                  <c:v>505.31314848323638</c:v>
                </c:pt>
                <c:pt idx="9">
                  <c:v>574.69308205465143</c:v>
                </c:pt>
                <c:pt idx="10">
                  <c:v>580.32576656888057</c:v>
                </c:pt>
                <c:pt idx="11">
                  <c:v>604.99686446772591</c:v>
                </c:pt>
                <c:pt idx="12">
                  <c:v>627.63472592110838</c:v>
                </c:pt>
                <c:pt idx="13">
                  <c:v>633.14806694644255</c:v>
                </c:pt>
                <c:pt idx="14">
                  <c:v>678.38980513732463</c:v>
                </c:pt>
                <c:pt idx="15">
                  <c:v>704.60776901621239</c:v>
                </c:pt>
                <c:pt idx="16">
                  <c:v>663.52676504506292</c:v>
                </c:pt>
                <c:pt idx="17">
                  <c:v>697.95462510612663</c:v>
                </c:pt>
                <c:pt idx="18">
                  <c:v>689.87751989269123</c:v>
                </c:pt>
                <c:pt idx="19">
                  <c:v>648.87825537559922</c:v>
                </c:pt>
                <c:pt idx="20">
                  <c:v>700.13519283614482</c:v>
                </c:pt>
                <c:pt idx="21">
                  <c:v>679.39990741638189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86-4116-B054-EFD924508E8F}"/>
            </c:ext>
          </c:extLst>
        </c:ser>
        <c:ser>
          <c:idx val="5"/>
          <c:order val="5"/>
          <c:tx>
            <c:strRef>
              <c:f>'NON-ETS &amp; ETS'!$A$90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'NON-ETS &amp; ETS'!$B$80:$AK$80</c:f>
              <c:numCache>
                <c:formatCode>General</c:formatCode>
                <c:ptCount val="22"/>
                <c:pt idx="0">
                  <c:v>1990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'NON-ETS &amp; ETS'!$B$90:$AK$90</c:f>
              <c:numCache>
                <c:formatCode>0.00</c:formatCode>
                <c:ptCount val="22"/>
                <c:pt idx="0">
                  <c:v>5143.2200176793176</c:v>
                </c:pt>
                <c:pt idx="1">
                  <c:v>13121.004385023904</c:v>
                </c:pt>
                <c:pt idx="2">
                  <c:v>13802.725648067277</c:v>
                </c:pt>
                <c:pt idx="3">
                  <c:v>14392.756052008692</c:v>
                </c:pt>
                <c:pt idx="4">
                  <c:v>13664.267124675782</c:v>
                </c:pt>
                <c:pt idx="5">
                  <c:v>12444.995423942555</c:v>
                </c:pt>
                <c:pt idx="6">
                  <c:v>11529.037607438011</c:v>
                </c:pt>
                <c:pt idx="7">
                  <c:v>11217.067370099192</c:v>
                </c:pt>
                <c:pt idx="8">
                  <c:v>10828.71255026297</c:v>
                </c:pt>
                <c:pt idx="9">
                  <c:v>11039.78193880622</c:v>
                </c:pt>
                <c:pt idx="10">
                  <c:v>11324.92722039086</c:v>
                </c:pt>
                <c:pt idx="11">
                  <c:v>11814.685009344992</c:v>
                </c:pt>
                <c:pt idx="12">
                  <c:v>12284.15753797274</c:v>
                </c:pt>
                <c:pt idx="13">
                  <c:v>12137.400789874237</c:v>
                </c:pt>
                <c:pt idx="14">
                  <c:v>12327.319669015918</c:v>
                </c:pt>
                <c:pt idx="15">
                  <c:v>12366.543638754896</c:v>
                </c:pt>
                <c:pt idx="16">
                  <c:v>10435.569024920473</c:v>
                </c:pt>
                <c:pt idx="17">
                  <c:v>11138.616307698334</c:v>
                </c:pt>
                <c:pt idx="18">
                  <c:v>11824.2833243144</c:v>
                </c:pt>
                <c:pt idx="19">
                  <c:v>11873.718601771543</c:v>
                </c:pt>
                <c:pt idx="20">
                  <c:v>11719.356897933967</c:v>
                </c:pt>
                <c:pt idx="21">
                  <c:v>11543.748767952977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86-4116-B054-EFD924508E8F}"/>
            </c:ext>
          </c:extLst>
        </c:ser>
        <c:ser>
          <c:idx val="6"/>
          <c:order val="6"/>
          <c:tx>
            <c:strRef>
              <c:f>'NON-ETS &amp; ETS'!$A$96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'NON-ETS &amp; ETS'!$B$80:$AK$80</c:f>
              <c:numCache>
                <c:formatCode>General</c:formatCode>
                <c:ptCount val="22"/>
                <c:pt idx="0">
                  <c:v>1990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'NON-ETS &amp; ETS'!$B$96:$AK$96</c:f>
              <c:numCache>
                <c:formatCode>0.00</c:formatCode>
                <c:ptCount val="22"/>
                <c:pt idx="0">
                  <c:v>3161.559738976744</c:v>
                </c:pt>
                <c:pt idx="1">
                  <c:v>201.92310589851323</c:v>
                </c:pt>
                <c:pt idx="2">
                  <c:v>160.62220153960746</c:v>
                </c:pt>
                <c:pt idx="3">
                  <c:v>176.56550240934803</c:v>
                </c:pt>
                <c:pt idx="4">
                  <c:v>164.68369792883064</c:v>
                </c:pt>
                <c:pt idx="5">
                  <c:v>166.3026671411763</c:v>
                </c:pt>
                <c:pt idx="6">
                  <c:v>158.73269479167652</c:v>
                </c:pt>
                <c:pt idx="7">
                  <c:v>159.61691023778806</c:v>
                </c:pt>
                <c:pt idx="8">
                  <c:v>161.32983238706711</c:v>
                </c:pt>
                <c:pt idx="9">
                  <c:v>167.65779621609505</c:v>
                </c:pt>
                <c:pt idx="10">
                  <c:v>164.12201995840783</c:v>
                </c:pt>
                <c:pt idx="11">
                  <c:v>171.18169788481956</c:v>
                </c:pt>
                <c:pt idx="12">
                  <c:v>175.04983805921938</c:v>
                </c:pt>
                <c:pt idx="13">
                  <c:v>191.23169782858312</c:v>
                </c:pt>
                <c:pt idx="14">
                  <c:v>193.28823801743494</c:v>
                </c:pt>
                <c:pt idx="15">
                  <c:v>201.89139046346958</c:v>
                </c:pt>
                <c:pt idx="16">
                  <c:v>195.46169965043822</c:v>
                </c:pt>
                <c:pt idx="17">
                  <c:v>210.20269478109432</c:v>
                </c:pt>
                <c:pt idx="18">
                  <c:v>220.16220771633749</c:v>
                </c:pt>
                <c:pt idx="19">
                  <c:v>213.13869480533501</c:v>
                </c:pt>
                <c:pt idx="20">
                  <c:v>212.4614715093681</c:v>
                </c:pt>
                <c:pt idx="21">
                  <c:v>211.44027487585737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86-4116-B054-EFD924508E8F}"/>
            </c:ext>
          </c:extLst>
        </c:ser>
        <c:ser>
          <c:idx val="7"/>
          <c:order val="7"/>
          <c:tx>
            <c:strRef>
              <c:f>'NON-ETS &amp; ETS'!$A$102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'NON-ETS &amp; ETS'!$B$80:$AK$80</c:f>
              <c:numCache>
                <c:formatCode>General</c:formatCode>
                <c:ptCount val="22"/>
                <c:pt idx="0">
                  <c:v>1990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'NON-ETS &amp; ETS'!$B$102:$AK$102</c:f>
              <c:numCache>
                <c:formatCode>0.00</c:formatCode>
                <c:ptCount val="22"/>
                <c:pt idx="0">
                  <c:v>35.524187103957608</c:v>
                </c:pt>
                <c:pt idx="1">
                  <c:v>1123.7330455373408</c:v>
                </c:pt>
                <c:pt idx="2">
                  <c:v>1105.9131506090259</c:v>
                </c:pt>
                <c:pt idx="3">
                  <c:v>1106.3151200833511</c:v>
                </c:pt>
                <c:pt idx="4">
                  <c:v>1133.5310193940597</c:v>
                </c:pt>
                <c:pt idx="5">
                  <c:v>1101.9758335651327</c:v>
                </c:pt>
                <c:pt idx="6">
                  <c:v>1066.0954511931914</c:v>
                </c:pt>
                <c:pt idx="7">
                  <c:v>1070.8006655506517</c:v>
                </c:pt>
                <c:pt idx="8">
                  <c:v>1043.5836093635819</c:v>
                </c:pt>
                <c:pt idx="9">
                  <c:v>1072.1872664719847</c:v>
                </c:pt>
                <c:pt idx="10">
                  <c:v>1134.3868508431085</c:v>
                </c:pt>
                <c:pt idx="11">
                  <c:v>1130.6423607181532</c:v>
                </c:pt>
                <c:pt idx="12">
                  <c:v>1204.1511795314182</c:v>
                </c:pt>
                <c:pt idx="13">
                  <c:v>1136.8766238833434</c:v>
                </c:pt>
                <c:pt idx="14">
                  <c:v>831.80380701398747</c:v>
                </c:pt>
                <c:pt idx="15">
                  <c:v>808.6767930675195</c:v>
                </c:pt>
                <c:pt idx="16">
                  <c:v>648.2464309277068</c:v>
                </c:pt>
                <c:pt idx="17">
                  <c:v>692.62625692686925</c:v>
                </c:pt>
                <c:pt idx="18">
                  <c:v>658.98618090990965</c:v>
                </c:pt>
                <c:pt idx="19">
                  <c:v>604.65195289734368</c:v>
                </c:pt>
                <c:pt idx="20">
                  <c:v>603.38505613479037</c:v>
                </c:pt>
                <c:pt idx="21">
                  <c:v>636.10671305374433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B86-4116-B054-EFD924508E8F}"/>
            </c:ext>
          </c:extLst>
        </c:ser>
        <c:ser>
          <c:idx val="8"/>
          <c:order val="8"/>
          <c:tx>
            <c:strRef>
              <c:f>'NON-ETS &amp; ETS'!$A$103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'NON-ETS &amp; ETS'!$B$80:$AK$80</c:f>
              <c:numCache>
                <c:formatCode>General</c:formatCode>
                <c:ptCount val="22"/>
                <c:pt idx="0">
                  <c:v>1990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'NON-ETS &amp; ETS'!$B$103:$AK$103</c:f>
              <c:numCache>
                <c:formatCode>0.00</c:formatCode>
                <c:ptCount val="22"/>
                <c:pt idx="0">
                  <c:v>20570.904991976302</c:v>
                </c:pt>
                <c:pt idx="1">
                  <c:v>20183.732962774309</c:v>
                </c:pt>
                <c:pt idx="2">
                  <c:v>19766.098255647201</c:v>
                </c:pt>
                <c:pt idx="3">
                  <c:v>19628.476137904887</c:v>
                </c:pt>
                <c:pt idx="4">
                  <c:v>19260.4113190346</c:v>
                </c:pt>
                <c:pt idx="5">
                  <c:v>18844.471615666589</c:v>
                </c:pt>
                <c:pt idx="6">
                  <c:v>18988.314346678682</c:v>
                </c:pt>
                <c:pt idx="7">
                  <c:v>18557.33832030421</c:v>
                </c:pt>
                <c:pt idx="8">
                  <c:v>18859.233411157347</c:v>
                </c:pt>
                <c:pt idx="9">
                  <c:v>19448.636013942163</c:v>
                </c:pt>
                <c:pt idx="10">
                  <c:v>19526.565007102839</c:v>
                </c:pt>
                <c:pt idx="11">
                  <c:v>19920.550163026874</c:v>
                </c:pt>
                <c:pt idx="12">
                  <c:v>20507.605954074821</c:v>
                </c:pt>
                <c:pt idx="13">
                  <c:v>21126.957903529936</c:v>
                </c:pt>
                <c:pt idx="14">
                  <c:v>21402.383015470303</c:v>
                </c:pt>
                <c:pt idx="15">
                  <c:v>21283.511936701434</c:v>
                </c:pt>
                <c:pt idx="16">
                  <c:v>21588.362732753743</c:v>
                </c:pt>
                <c:pt idx="17">
                  <c:v>21967.614528787839</c:v>
                </c:pt>
                <c:pt idx="18">
                  <c:v>21779.867224278667</c:v>
                </c:pt>
                <c:pt idx="19">
                  <c:v>20719.546534732603</c:v>
                </c:pt>
                <c:pt idx="20">
                  <c:v>20435.676852595858</c:v>
                </c:pt>
                <c:pt idx="21">
                  <c:v>20398.448033618672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B86-4116-B054-EFD924508E8F}"/>
            </c:ext>
          </c:extLst>
        </c:ser>
        <c:ser>
          <c:idx val="9"/>
          <c:order val="9"/>
          <c:tx>
            <c:strRef>
              <c:f>'NON-ETS &amp; ETS'!$A$111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'NON-ETS &amp; ETS'!$B$80:$AK$80</c:f>
              <c:numCache>
                <c:formatCode>General</c:formatCode>
                <c:ptCount val="22"/>
                <c:pt idx="0">
                  <c:v>1990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'NON-ETS &amp; ETS'!$B$111:$AK$111</c:f>
              <c:numCache>
                <c:formatCode>0.00</c:formatCode>
                <c:ptCount val="22"/>
                <c:pt idx="0">
                  <c:v>0</c:v>
                </c:pt>
                <c:pt idx="1">
                  <c:v>1454.2732283395637</c:v>
                </c:pt>
                <c:pt idx="2">
                  <c:v>1489.0608120747911</c:v>
                </c:pt>
                <c:pt idx="3">
                  <c:v>962.33999441077253</c:v>
                </c:pt>
                <c:pt idx="4">
                  <c:v>800.17858585700117</c:v>
                </c:pt>
                <c:pt idx="5">
                  <c:v>603.78478589667623</c:v>
                </c:pt>
                <c:pt idx="6">
                  <c:v>594.31068292949431</c:v>
                </c:pt>
                <c:pt idx="7">
                  <c:v>688.42779394361185</c:v>
                </c:pt>
                <c:pt idx="8">
                  <c:v>594.26965456386324</c:v>
                </c:pt>
                <c:pt idx="9">
                  <c:v>764.64137999478999</c:v>
                </c:pt>
                <c:pt idx="10">
                  <c:v>949.68601610714018</c:v>
                </c:pt>
                <c:pt idx="11">
                  <c:v>1025.8248980477192</c:v>
                </c:pt>
                <c:pt idx="12">
                  <c:v>1019.2945208107094</c:v>
                </c:pt>
                <c:pt idx="13">
                  <c:v>988.0756943528088</c:v>
                </c:pt>
                <c:pt idx="14">
                  <c:v>943.37653365285883</c:v>
                </c:pt>
                <c:pt idx="15">
                  <c:v>908.39164361748965</c:v>
                </c:pt>
                <c:pt idx="16">
                  <c:v>888.9153915942502</c:v>
                </c:pt>
                <c:pt idx="17">
                  <c:v>833.96672898270162</c:v>
                </c:pt>
                <c:pt idx="18">
                  <c:v>879.58421071363273</c:v>
                </c:pt>
                <c:pt idx="19">
                  <c:v>840.93361055304717</c:v>
                </c:pt>
                <c:pt idx="20">
                  <c:v>822.64954636994128</c:v>
                </c:pt>
                <c:pt idx="21">
                  <c:v>819.53686301069376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86-4116-B054-EFD924508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161024"/>
        <c:axId val="226162560"/>
      </c:barChart>
      <c:catAx>
        <c:axId val="2261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162560"/>
        <c:crosses val="autoZero"/>
        <c:auto val="1"/>
        <c:lblAlgn val="ctr"/>
        <c:lblOffset val="100"/>
        <c:noMultiLvlLbl val="0"/>
      </c:catAx>
      <c:valAx>
        <c:axId val="226162560"/>
        <c:scaling>
          <c:orientation val="minMax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22616102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03898518745012"/>
          <c:y val="5.4534905220291349E-2"/>
          <c:w val="0.61769362339541745"/>
          <c:h val="0.6926431327163478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243471807403385E-2"/>
                  <c:y val="3.31149793887479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5A-4221-9605-93882B769812}"/>
                </c:ext>
              </c:extLst>
            </c:dLbl>
            <c:dLbl>
              <c:idx val="1"/>
              <c:layout>
                <c:manualLayout>
                  <c:x val="2.721723232871753E-2"/>
                  <c:y val="-2.871144867254292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5A-4221-9605-93882B769812}"/>
                </c:ext>
              </c:extLst>
            </c:dLbl>
            <c:dLbl>
              <c:idx val="2"/>
              <c:layout>
                <c:manualLayout>
                  <c:x val="6.0832944157842336E-2"/>
                  <c:y val="-3.138896670914995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5A-4221-9605-93882B769812}"/>
                </c:ext>
              </c:extLst>
            </c:dLbl>
            <c:dLbl>
              <c:idx val="4"/>
              <c:layout>
                <c:manualLayout>
                  <c:x val="-5.8221232690741247E-2"/>
                  <c:y val="1.96116452681304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5A-4221-9605-93882B769812}"/>
                </c:ext>
              </c:extLst>
            </c:dLbl>
            <c:dLbl>
              <c:idx val="5"/>
              <c:layout>
                <c:manualLayout>
                  <c:x val="-6.6420635351615534E-2"/>
                  <c:y val="2.199698502074277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5A-4221-9605-93882B769812}"/>
                </c:ext>
              </c:extLst>
            </c:dLbl>
            <c:dLbl>
              <c:idx val="6"/>
              <c:layout>
                <c:manualLayout>
                  <c:x val="-2.2347108572212789E-2"/>
                  <c:y val="-6.422040364224002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5A-4221-9605-93882B769812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5A-4221-9605-93882B769812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5A-4221-9605-93882B769812}"/>
                </c:ext>
              </c:extLst>
            </c:dLbl>
            <c:dLbl>
              <c:idx val="9"/>
              <c:layout>
                <c:manualLayout>
                  <c:x val="3.4589539052716452E-2"/>
                  <c:y val="8.9325690498007302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A5A-4221-9605-93882B76981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ETS'!$A$81,'NON-ETS &amp; ETS'!$A$86:$A$90,'NON-ETS &amp; ETS'!$A$96,'NON-ETS &amp; ETS'!$A$102:$A$103,'NON-ETS &amp; ETS'!$A$111)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ETS'!$B$81,'NON-ETS &amp; ETS'!$B$86:$B$90,'NON-ETS &amp; ETS'!$B$96,'NON-ETS &amp; ETS'!$B$102:$B$103,'NON-ETS &amp; ETS'!$B$111)</c:f>
              <c:numCache>
                <c:formatCode>0.00</c:formatCode>
                <c:ptCount val="10"/>
                <c:pt idx="0">
                  <c:v>11315.301005472866</c:v>
                </c:pt>
                <c:pt idx="1">
                  <c:v>7569.7124798227551</c:v>
                </c:pt>
                <c:pt idx="2">
                  <c:v>4093.5373960846191</c:v>
                </c:pt>
                <c:pt idx="3">
                  <c:v>1009.6756971444248</c:v>
                </c:pt>
                <c:pt idx="4">
                  <c:v>1123.0310909969073</c:v>
                </c:pt>
                <c:pt idx="5">
                  <c:v>5143.2200176793176</c:v>
                </c:pt>
                <c:pt idx="6">
                  <c:v>3161.559738976744</c:v>
                </c:pt>
                <c:pt idx="7">
                  <c:v>35.524187103957608</c:v>
                </c:pt>
                <c:pt idx="8">
                  <c:v>20570.904991976302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5A-4221-9605-93882B769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2025</a:t>
            </a:r>
          </a:p>
        </c:rich>
      </c:tx>
      <c:layout>
        <c:manualLayout>
          <c:xMode val="edge"/>
          <c:yMode val="edge"/>
          <c:x val="7.1304952076944469E-2"/>
          <c:y val="2.343904965167118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747761202701764"/>
          <c:y val="8.7152912838422636E-2"/>
          <c:w val="0.62467266362354901"/>
          <c:h val="0.6820288447762127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0040601827032623"/>
                  <c:y val="1.3634227046704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2B-483C-9FD6-C32466312426}"/>
                </c:ext>
              </c:extLst>
            </c:dLbl>
            <c:dLbl>
              <c:idx val="1"/>
              <c:layout>
                <c:manualLayout>
                  <c:x val="0.12126867707425935"/>
                  <c:y val="-3.1837011479197621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2B-483C-9FD6-C32466312426}"/>
                </c:ext>
              </c:extLst>
            </c:dLbl>
            <c:dLbl>
              <c:idx val="2"/>
              <c:layout>
                <c:manualLayout>
                  <c:x val="7.1631310299225592E-2"/>
                  <c:y val="-1.9096901271606914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2B-483C-9FD6-C32466312426}"/>
                </c:ext>
              </c:extLst>
            </c:dLbl>
            <c:dLbl>
              <c:idx val="3"/>
              <c:layout>
                <c:manualLayout>
                  <c:x val="5.4456825187177781E-2"/>
                  <c:y val="5.865309269124482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2B-483C-9FD6-C32466312426}"/>
                </c:ext>
              </c:extLst>
            </c:dLbl>
            <c:dLbl>
              <c:idx val="4"/>
              <c:layout>
                <c:manualLayout>
                  <c:x val="2.5169847249155507E-2"/>
                  <c:y val="0.1233196822532514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2B-483C-9FD6-C32466312426}"/>
                </c:ext>
              </c:extLst>
            </c:dLbl>
            <c:dLbl>
              <c:idx val="5"/>
              <c:layout>
                <c:manualLayout>
                  <c:x val="5.6615390908361769E-2"/>
                  <c:y val="1.701507640527409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2B-483C-9FD6-C32466312426}"/>
                </c:ext>
              </c:extLst>
            </c:dLbl>
            <c:dLbl>
              <c:idx val="6"/>
              <c:layout>
                <c:manualLayout>
                  <c:x val="0.15871942054310692"/>
                  <c:y val="1.17128717191285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2B-483C-9FD6-C32466312426}"/>
                </c:ext>
              </c:extLst>
            </c:dLbl>
            <c:dLbl>
              <c:idx val="7"/>
              <c:layout>
                <c:manualLayout>
                  <c:x val="-0.13287968575141018"/>
                  <c:y val="-1.729298899449641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2B-483C-9FD6-C32466312426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12B-483C-9FD6-C32466312426}"/>
                </c:ext>
              </c:extLst>
            </c:dLbl>
            <c:dLbl>
              <c:idx val="9"/>
              <c:layout>
                <c:manualLayout>
                  <c:x val="-0.12404620403331426"/>
                  <c:y val="-6.502096656953130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2B-483C-9FD6-C3246631242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ETS'!$A$81,'NON-ETS &amp; ETS'!$A$86:$A$90,'NON-ETS &amp; ETS'!$A$96,'NON-ETS &amp; ETS'!$A$102:$A$103,'NON-ETS &amp; ETS'!$A$111)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ETS'!$AK$81,'NON-ETS &amp; ETS'!$AK$86:$AK$90,'NON-ETS &amp; ETS'!$AK$96,'NON-ETS &amp; ETS'!$AK$102:$AK$103,'NON-ETS &amp; ETS'!$AK$111)</c:f>
              <c:numCache>
                <c:formatCode>0.00</c:formatCode>
                <c:ptCount val="10"/>
                <c:pt idx="0">
                  <c:v>545.06086794551572</c:v>
                </c:pt>
                <c:pt idx="1">
                  <c:v>5211.7931715401201</c:v>
                </c:pt>
                <c:pt idx="2">
                  <c:v>1218.1400724232635</c:v>
                </c:pt>
                <c:pt idx="3">
                  <c:v>690.92811378369652</c:v>
                </c:pt>
                <c:pt idx="4">
                  <c:v>679.39990741638189</c:v>
                </c:pt>
                <c:pt idx="5">
                  <c:v>11543.748767952977</c:v>
                </c:pt>
                <c:pt idx="6">
                  <c:v>211.44027487585737</c:v>
                </c:pt>
                <c:pt idx="7">
                  <c:v>636.10671305374433</c:v>
                </c:pt>
                <c:pt idx="8">
                  <c:v>20398.448033618672</c:v>
                </c:pt>
                <c:pt idx="9">
                  <c:v>819.53686301069376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2B-483C-9FD6-C32466312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1.3367654204832999E-2"/>
          <c:y val="0.83411973962849451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1990</a:t>
            </a:r>
          </a:p>
        </c:rich>
      </c:tx>
      <c:layout>
        <c:manualLayout>
          <c:xMode val="edge"/>
          <c:yMode val="edge"/>
          <c:x val="0.45441176281478368"/>
          <c:y val="0.36437365881702266"/>
        </c:manualLayout>
      </c:layout>
      <c:overlay val="1"/>
    </c:title>
    <c:autoTitleDeleted val="0"/>
    <c:plotArea>
      <c:layout/>
      <c:doughnutChart>
        <c:varyColors val="1"/>
        <c:ser>
          <c:idx val="0"/>
          <c:order val="0"/>
          <c:tx>
            <c:strRef>
              <c:f>'NEW Summary 1990-2025 GHG'!$B$1</c:f>
              <c:strCache>
                <c:ptCount val="1"/>
                <c:pt idx="0">
                  <c:v>1990</c:v>
                </c:pt>
              </c:strCache>
            </c:strRef>
          </c:tx>
          <c:dLbls>
            <c:dLbl>
              <c:idx val="0"/>
              <c:layout>
                <c:manualLayout>
                  <c:x val="9.9393933159044642E-2"/>
                  <c:y val="-0.1004676253402163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17-4F28-A15E-E2E81CE0D694}"/>
                </c:ext>
              </c:extLst>
            </c:dLbl>
            <c:dLbl>
              <c:idx val="1"/>
              <c:layout>
                <c:manualLayout>
                  <c:x val="0.13990473704311909"/>
                  <c:y val="3.110170847224963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17-4F28-A15E-E2E81CE0D694}"/>
                </c:ext>
              </c:extLst>
            </c:dLbl>
            <c:dLbl>
              <c:idx val="2"/>
              <c:layout>
                <c:manualLayout>
                  <c:x val="0.1702541159949951"/>
                  <c:y val="6.03244067396950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17-4F28-A15E-E2E81CE0D694}"/>
                </c:ext>
              </c:extLst>
            </c:dLbl>
            <c:dLbl>
              <c:idx val="3"/>
              <c:layout>
                <c:manualLayout>
                  <c:x val="0.14233890619916489"/>
                  <c:y val="8.167030176410926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17-4F28-A15E-E2E81CE0D694}"/>
                </c:ext>
              </c:extLst>
            </c:dLbl>
            <c:dLbl>
              <c:idx val="4"/>
              <c:layout>
                <c:manualLayout>
                  <c:x val="5.9365745199881061E-2"/>
                  <c:y val="0.1272751934388335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17-4F28-A15E-E2E81CE0D694}"/>
                </c:ext>
              </c:extLst>
            </c:dLbl>
            <c:dLbl>
              <c:idx val="5"/>
              <c:layout>
                <c:manualLayout>
                  <c:x val="-2.8858066167119164E-2"/>
                  <c:y val="0.1258134619644470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17-4F28-A15E-E2E81CE0D694}"/>
                </c:ext>
              </c:extLst>
            </c:dLbl>
            <c:dLbl>
              <c:idx val="6"/>
              <c:layout>
                <c:manualLayout>
                  <c:x val="-7.134164140852349E-2"/>
                  <c:y val="0.1151979726972861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17-4F28-A15E-E2E81CE0D694}"/>
                </c:ext>
              </c:extLst>
            </c:dLbl>
            <c:dLbl>
              <c:idx val="7"/>
              <c:layout>
                <c:manualLayout>
                  <c:x val="-0.14409795315809307"/>
                  <c:y val="5.349472506622219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17-4F28-A15E-E2E81CE0D694}"/>
                </c:ext>
              </c:extLst>
            </c:dLbl>
            <c:dLbl>
              <c:idx val="8"/>
              <c:layout>
                <c:manualLayout>
                  <c:x val="-0.13665141962123717"/>
                  <c:y val="-6.057700323226180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17-4F28-A15E-E2E81CE0D694}"/>
                </c:ext>
              </c:extLst>
            </c:dLbl>
            <c:dLbl>
              <c:idx val="9"/>
              <c:layout>
                <c:manualLayout>
                  <c:x val="1.4991699211843058E-2"/>
                  <c:y val="-0.1167391409803978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17-4F28-A15E-E2E81CE0D69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1990-2025 GHG'!$A$2,'NEW Summary 1990-2025 GHG'!$A$7,'NEW Summary 1990-2025 GHG'!$A$8,'NEW Summary 1990-2025 GHG'!$A$9,'NEW Summary 1990-2025 GHG'!$A$10,'NEW Summary 1990-2025 GHG'!$A$11,'NEW Summary 1990-2025 GHG'!$A$17,'NEW Summary 1990-2025 GHG'!$A$23,'NEW Summary 1990-2025 GHG'!$A$24,'NEW Summary 1990-2025 GHG'!$A$32)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1990-2025 GHG'!$B$2,'NEW Summary 1990-2025 GHG'!$B$7,'NEW Summary 1990-2025 GHG'!$B$8,'NEW Summary 1990-2025 GHG'!$B$9,'NEW Summary 1990-2025 GHG'!$B$10,'NEW Summary 1990-2025 GHG'!$B$11,'NEW Summary 1990-2025 GHG'!$B$17,'NEW Summary 1990-2025 GHG'!$B$23,'NEW Summary 1990-2025 GHG'!$B$24,'NEW Summary 1990-2025 GHG'!$B$32)</c:f>
              <c:numCache>
                <c:formatCode>0.00</c:formatCode>
                <c:ptCount val="10"/>
                <c:pt idx="0">
                  <c:v>11315.301005472866</c:v>
                </c:pt>
                <c:pt idx="1">
                  <c:v>7569.7124798227551</c:v>
                </c:pt>
                <c:pt idx="2">
                  <c:v>4093.5373960846191</c:v>
                </c:pt>
                <c:pt idx="3">
                  <c:v>1009.6756971444248</c:v>
                </c:pt>
                <c:pt idx="4">
                  <c:v>1123.0310909969073</c:v>
                </c:pt>
                <c:pt idx="5">
                  <c:v>5143.2200176793176</c:v>
                </c:pt>
                <c:pt idx="6">
                  <c:v>3161.559738976744</c:v>
                </c:pt>
                <c:pt idx="7">
                  <c:v>35.524187103957608</c:v>
                </c:pt>
                <c:pt idx="8">
                  <c:v>20570.904991976302</c:v>
                </c:pt>
                <c:pt idx="9">
                  <c:v>1709.2379654880638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417-4F28-A15E-E2E81CE0D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3868193000075872"/>
          <c:h val="0.1605267194183592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2005 ESR</a:t>
            </a:r>
          </a:p>
        </c:rich>
      </c:tx>
      <c:layout>
        <c:manualLayout>
          <c:xMode val="edge"/>
          <c:yMode val="edge"/>
          <c:x val="0.39254313166367205"/>
          <c:y val="0.38032381645827057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7018037681025075"/>
          <c:y val="8.760718278299795E-2"/>
          <c:w val="0.60307358643960784"/>
          <c:h val="0.68020907265689279"/>
        </c:manualLayout>
      </c:layout>
      <c:doughnutChart>
        <c:varyColors val="1"/>
        <c:ser>
          <c:idx val="0"/>
          <c:order val="0"/>
          <c:tx>
            <c:strRef>
              <c:f>'NON-ETS &amp; ETS'!$Q$80</c:f>
              <c:strCache>
                <c:ptCount val="1"/>
                <c:pt idx="0">
                  <c:v>2005</c:v>
                </c:pt>
              </c:strCache>
            </c:strRef>
          </c:tx>
          <c:dLbls>
            <c:dLbl>
              <c:idx val="0"/>
              <c:layout>
                <c:manualLayout>
                  <c:x val="8.4264043044462986E-2"/>
                  <c:y val="-0.124392861802088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AB-426C-B0B7-D36BC961226C}"/>
                </c:ext>
              </c:extLst>
            </c:dLbl>
            <c:dLbl>
              <c:idx val="1"/>
              <c:layout>
                <c:manualLayout>
                  <c:x val="0.13871266635126858"/>
                  <c:y val="-7.257431619586229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AB-426C-B0B7-D36BC961226C}"/>
                </c:ext>
              </c:extLst>
            </c:dLbl>
            <c:dLbl>
              <c:idx val="2"/>
              <c:layout>
                <c:manualLayout>
                  <c:x val="0.14136292897655267"/>
                  <c:y val="-5.332046645419678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AB-426C-B0B7-D36BC961226C}"/>
                </c:ext>
              </c:extLst>
            </c:dLbl>
            <c:dLbl>
              <c:idx val="3"/>
              <c:layout>
                <c:manualLayout>
                  <c:x val="0.16767846730330199"/>
                  <c:y val="-1.403064408337850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AB-426C-B0B7-D36BC961226C}"/>
                </c:ext>
              </c:extLst>
            </c:dLbl>
            <c:dLbl>
              <c:idx val="4"/>
              <c:layout>
                <c:manualLayout>
                  <c:x val="0.14893248323386324"/>
                  <c:y val="1.961162936040966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AB-426C-B0B7-D36BC961226C}"/>
                </c:ext>
              </c:extLst>
            </c:dLbl>
            <c:dLbl>
              <c:idx val="5"/>
              <c:layout>
                <c:manualLayout>
                  <c:x val="0.12476722688104828"/>
                  <c:y val="6.7994140514923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AB-426C-B0B7-D36BC961226C}"/>
                </c:ext>
              </c:extLst>
            </c:dLbl>
            <c:dLbl>
              <c:idx val="6"/>
              <c:layout>
                <c:manualLayout>
                  <c:x val="0.10774422021857673"/>
                  <c:y val="0.1211792818127542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AB-426C-B0B7-D36BC961226C}"/>
                </c:ext>
              </c:extLst>
            </c:dLbl>
            <c:dLbl>
              <c:idx val="7"/>
              <c:layout>
                <c:manualLayout>
                  <c:x val="-6.9136945712010928E-2"/>
                  <c:y val="0.1172953556312141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AB-426C-B0B7-D36BC961226C}"/>
                </c:ext>
              </c:extLst>
            </c:dLbl>
            <c:dLbl>
              <c:idx val="8"/>
              <c:layout>
                <c:manualLayout>
                  <c:x val="-0.13665141962123717"/>
                  <c:y val="-6.057700323226180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AB-426C-B0B7-D36BC961226C}"/>
                </c:ext>
              </c:extLst>
            </c:dLbl>
            <c:dLbl>
              <c:idx val="9"/>
              <c:layout>
                <c:manualLayout>
                  <c:x val="-7.4380641516382809E-2"/>
                  <c:y val="-0.1267079895061777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AB-426C-B0B7-D36BC96122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ETS'!$A$81,'NON-ETS &amp; ETS'!$A$86,'NON-ETS &amp; ETS'!$A$87,'NON-ETS &amp; ETS'!$A$88,'NON-ETS &amp; ETS'!$A$89,'NON-ETS &amp; ETS'!$A$90,'NON-ETS &amp; ETS'!$A$96,'NON-ETS &amp; ETS'!$A$102,'NON-ETS &amp; ETS'!$A$103,'NON-ETS &amp; ETS'!$A$111)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ETS'!$Q$81,'NON-ETS &amp; ETS'!$Q$86,'NON-ETS &amp; ETS'!$Q$87,'NON-ETS &amp; ETS'!$Q$88,'NON-ETS &amp; ETS'!$Q$89,'NON-ETS &amp; ETS'!$Q$90,'NON-ETS &amp; ETS'!$Q$96,'NON-ETS &amp; ETS'!$Q$102,'NON-ETS &amp; ETS'!$Q$103,'NON-ETS &amp; ETS'!$Q$111)</c:f>
              <c:numCache>
                <c:formatCode>0.00</c:formatCode>
                <c:ptCount val="10"/>
                <c:pt idx="0">
                  <c:v>144.18642251122242</c:v>
                </c:pt>
                <c:pt idx="1">
                  <c:v>8151.9814411342359</c:v>
                </c:pt>
                <c:pt idx="2">
                  <c:v>1610.8464080374906</c:v>
                </c:pt>
                <c:pt idx="3">
                  <c:v>1021.3049481197587</c:v>
                </c:pt>
                <c:pt idx="4">
                  <c:v>652.46294480390372</c:v>
                </c:pt>
                <c:pt idx="5">
                  <c:v>13121.004385023904</c:v>
                </c:pt>
                <c:pt idx="6">
                  <c:v>201.92310589851323</c:v>
                </c:pt>
                <c:pt idx="7">
                  <c:v>1123.7330455373408</c:v>
                </c:pt>
                <c:pt idx="8">
                  <c:v>20183.732962774309</c:v>
                </c:pt>
                <c:pt idx="9">
                  <c:v>1454.2732283395637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DAB-426C-B0B7-D36BC9612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3868193000075872"/>
          <c:h val="0.1605267194183592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2025 ESR</a:t>
            </a:r>
          </a:p>
        </c:rich>
      </c:tx>
      <c:layout>
        <c:manualLayout>
          <c:xMode val="edge"/>
          <c:yMode val="edge"/>
          <c:x val="0.4041553968970481"/>
          <c:y val="0.3902926649840506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664476828769508"/>
          <c:y val="9.3588491898465923E-2"/>
          <c:w val="0.61235162981431979"/>
          <c:h val="0.68020907265689279"/>
        </c:manualLayout>
      </c:layout>
      <c:doughnutChart>
        <c:varyColors val="1"/>
        <c:ser>
          <c:idx val="0"/>
          <c:order val="0"/>
          <c:tx>
            <c:strRef>
              <c:f>'NON-ETS &amp; ETS'!$AG$80</c:f>
              <c:strCache>
                <c:ptCount val="1"/>
                <c:pt idx="0">
                  <c:v>2021</c:v>
                </c:pt>
              </c:strCache>
            </c:strRef>
          </c:tx>
          <c:dLbls>
            <c:dLbl>
              <c:idx val="0"/>
              <c:layout>
                <c:manualLayout>
                  <c:x val="7.0313045439654498E-2"/>
                  <c:y val="-0.1204053223917763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C5-42A9-AC95-417489F3A388}"/>
                </c:ext>
              </c:extLst>
            </c:dLbl>
            <c:dLbl>
              <c:idx val="1"/>
              <c:layout>
                <c:manualLayout>
                  <c:x val="0.13030939351138274"/>
                  <c:y val="-8.653070413195426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C5-42A9-AC95-417489F3A388}"/>
                </c:ext>
              </c:extLst>
            </c:dLbl>
            <c:dLbl>
              <c:idx val="2"/>
              <c:layout>
                <c:manualLayout>
                  <c:x val="0.15496358388708192"/>
                  <c:y val="-6.328931497997673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C5-42A9-AC95-417489F3A388}"/>
                </c:ext>
              </c:extLst>
            </c:dLbl>
            <c:dLbl>
              <c:idx val="3"/>
              <c:layout>
                <c:manualLayout>
                  <c:x val="0.16936189289145046"/>
                  <c:y val="-2.399949260915849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C5-42A9-AC95-417489F3A388}"/>
                </c:ext>
              </c:extLst>
            </c:dLbl>
            <c:dLbl>
              <c:idx val="4"/>
              <c:layout>
                <c:manualLayout>
                  <c:x val="0.15561920676839114"/>
                  <c:y val="2.160539906556566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C5-42A9-AC95-417489F3A388}"/>
                </c:ext>
              </c:extLst>
            </c:dLbl>
            <c:dLbl>
              <c:idx val="5"/>
              <c:layout>
                <c:manualLayout>
                  <c:x val="0.13428538801879217"/>
                  <c:y val="6.400660110461113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C5-42A9-AC95-417489F3A388}"/>
                </c:ext>
              </c:extLst>
            </c:dLbl>
            <c:dLbl>
              <c:idx val="6"/>
              <c:layout>
                <c:manualLayout>
                  <c:x val="9.4189252295257875E-2"/>
                  <c:y val="0.1291543606333782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C5-42A9-AC95-417489F3A388}"/>
                </c:ext>
              </c:extLst>
            </c:dLbl>
            <c:dLbl>
              <c:idx val="7"/>
              <c:layout>
                <c:manualLayout>
                  <c:x val="-0.1515779184969884"/>
                  <c:y val="9.735765857965401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C5-42A9-AC95-417489F3A388}"/>
                </c:ext>
              </c:extLst>
            </c:dLbl>
            <c:dLbl>
              <c:idx val="8"/>
              <c:layout>
                <c:manualLayout>
                  <c:x val="-0.13665141962123717"/>
                  <c:y val="-6.057700323226180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C5-42A9-AC95-417489F3A388}"/>
                </c:ext>
              </c:extLst>
            </c:dLbl>
            <c:dLbl>
              <c:idx val="9"/>
              <c:layout>
                <c:manualLayout>
                  <c:x val="-8.0499437936581444E-2"/>
                  <c:y val="-0.1267079895061777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C5-42A9-AC95-417489F3A38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ETS'!$A$81,'NON-ETS &amp; ETS'!$A$86,'NON-ETS &amp; ETS'!$A$87,'NON-ETS &amp; ETS'!$A$88,'NON-ETS &amp; ETS'!$A$89,'NON-ETS &amp; ETS'!$A$90,'NON-ETS &amp; ETS'!$A$96,'NON-ETS &amp; ETS'!$A$102,'NON-ETS &amp; ETS'!$A$103,'NON-ETS &amp; ETS'!$A$111)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ETS'!$AK$81,'NON-ETS &amp; ETS'!$AK$86,'NON-ETS &amp; ETS'!$AK$87,'NON-ETS &amp; ETS'!$AK$88,'NON-ETS &amp; ETS'!$AK$89,'NON-ETS &amp; ETS'!$AK$90,'NON-ETS &amp; ETS'!$AK$96,'NON-ETS &amp; ETS'!$AK$102,'NON-ETS &amp; ETS'!$AK$103,'NON-ETS &amp; ETS'!$AK$111)</c:f>
              <c:numCache>
                <c:formatCode>0.00</c:formatCode>
                <c:ptCount val="10"/>
                <c:pt idx="0">
                  <c:v>545.06086794551572</c:v>
                </c:pt>
                <c:pt idx="1">
                  <c:v>5211.7931715401201</c:v>
                </c:pt>
                <c:pt idx="2">
                  <c:v>1218.1400724232635</c:v>
                </c:pt>
                <c:pt idx="3">
                  <c:v>690.92811378369652</c:v>
                </c:pt>
                <c:pt idx="4">
                  <c:v>679.39990741638189</c:v>
                </c:pt>
                <c:pt idx="5">
                  <c:v>11543.748767952977</c:v>
                </c:pt>
                <c:pt idx="6">
                  <c:v>211.44027487585737</c:v>
                </c:pt>
                <c:pt idx="7">
                  <c:v>636.10671305374433</c:v>
                </c:pt>
                <c:pt idx="8">
                  <c:v>20398.448033618672</c:v>
                </c:pt>
                <c:pt idx="9">
                  <c:v>819.53686301069376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C5-42A9-AC95-417489F3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3868193000075872"/>
          <c:h val="0.1605267194183592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Carbon Budget 1 -295 Mt CO</a:t>
            </a:r>
            <a:r>
              <a:rPr lang="en-IE" baseline="-25000"/>
              <a:t>2</a:t>
            </a:r>
            <a:r>
              <a:rPr lang="en-IE"/>
              <a:t>eq</a:t>
            </a:r>
          </a:p>
        </c:rich>
      </c:tx>
      <c:layout>
        <c:manualLayout>
          <c:xMode val="edge"/>
          <c:yMode val="edge"/>
          <c:x val="0.25293850848943666"/>
          <c:y val="2.99624505029356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789668113915667"/>
          <c:y val="0.13624505029356879"/>
          <c:w val="0.54862615096565714"/>
          <c:h val="0.67287177069043469"/>
        </c:manualLayout>
      </c:layout>
      <c:doughnutChart>
        <c:varyColors val="1"/>
        <c:ser>
          <c:idx val="0"/>
          <c:order val="0"/>
          <c:tx>
            <c:strRef>
              <c:f>'CAP Sectors'!$AF$55</c:f>
              <c:strCache>
                <c:ptCount val="1"/>
                <c:pt idx="0">
                  <c:v>Carbon Budget 1 -295 Mt CO2eq</c:v>
                </c:pt>
              </c:strCache>
            </c:strRef>
          </c:tx>
          <c:spPr>
            <a:solidFill>
              <a:srgbClr val="C0504D"/>
            </a:solidFill>
          </c:spPr>
          <c:dPt>
            <c:idx val="1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0190-4962-A955-C2975A2226B2}"/>
              </c:ext>
            </c:extLst>
          </c:dPt>
          <c:dLbls>
            <c:dLbl>
              <c:idx val="0"/>
              <c:layout>
                <c:manualLayout>
                  <c:x val="0.28679093384354992"/>
                  <c:y val="-0.3146160633266566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0" baseline="0"/>
                  </a:pPr>
                  <a:endParaRPr lang="en-US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039370078740159"/>
                      <c:h val="0.124649310454690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190-4962-A955-C2975A2226B2}"/>
                </c:ext>
              </c:extLst>
            </c:dLbl>
            <c:dLbl>
              <c:idx val="1"/>
              <c:layout>
                <c:manualLayout>
                  <c:x val="-0.26356435352123042"/>
                  <c:y val="1.473508962975372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0" baseline="0"/>
                  </a:pPr>
                  <a:endParaRPr lang="en-US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90-4962-A955-C2975A2226B2}"/>
                </c:ext>
              </c:extLst>
            </c:dLbl>
            <c:dLbl>
              <c:idx val="2"/>
              <c:layout>
                <c:manualLayout>
                  <c:x val="0.17759088439959966"/>
                  <c:y val="1.392243837546072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90-4962-A955-C2975A2226B2}"/>
                </c:ext>
              </c:extLst>
            </c:dLbl>
            <c:dLbl>
              <c:idx val="3"/>
              <c:layout>
                <c:manualLayout>
                  <c:x val="0.14264964784195613"/>
                  <c:y val="6.389005366205206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90-4962-A955-C2975A2226B2}"/>
                </c:ext>
              </c:extLst>
            </c:dLbl>
            <c:dLbl>
              <c:idx val="4"/>
              <c:layout>
                <c:manualLayout>
                  <c:x val="0.10443318170901519"/>
                  <c:y val="0.1120028222986759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90-4962-A955-C2975A2226B2}"/>
                </c:ext>
              </c:extLst>
            </c:dLbl>
            <c:dLbl>
              <c:idx val="5"/>
              <c:layout>
                <c:manualLayout>
                  <c:x val="1.3835332486051285E-2"/>
                  <c:y val="0.1178526748766658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90-4962-A955-C2975A2226B2}"/>
                </c:ext>
              </c:extLst>
            </c:dLbl>
            <c:dLbl>
              <c:idx val="6"/>
              <c:layout>
                <c:manualLayout>
                  <c:x val="-8.8361622452355848E-2"/>
                  <c:y val="0.1238601257200054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90-4962-A955-C2975A2226B2}"/>
                </c:ext>
              </c:extLst>
            </c:dLbl>
            <c:dLbl>
              <c:idx val="7"/>
              <c:layout>
                <c:manualLayout>
                  <c:x val="-0.14770441452501182"/>
                  <c:y val="7.384752729579943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301408735251159"/>
                      <c:h val="5.47515562435494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0190-4962-A955-C2975A2226B2}"/>
                </c:ext>
              </c:extLst>
            </c:dLbl>
            <c:dLbl>
              <c:idx val="8"/>
              <c:layout>
                <c:manualLayout>
                  <c:x val="-0.12166653266828908"/>
                  <c:y val="-4.795501308757654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90-4962-A955-C2975A2226B2}"/>
                </c:ext>
              </c:extLst>
            </c:dLbl>
            <c:dLbl>
              <c:idx val="9"/>
              <c:layout>
                <c:manualLayout>
                  <c:x val="-1.9057532718796219E-2"/>
                  <c:y val="-0.1198651197919828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90-4962-A955-C2975A2226B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('CAP Sectors'!$AC$56,'CAP Sectors'!$AC$57)</c:f>
              <c:strCache>
                <c:ptCount val="2"/>
                <c:pt idx="0">
                  <c:v>2021-2025 GHG emissions</c:v>
                </c:pt>
                <c:pt idx="1">
                  <c:v>Remaining Carbon Budget</c:v>
                </c:pt>
              </c:strCache>
            </c:strRef>
          </c:cat>
          <c:val>
            <c:numRef>
              <c:f>('CAP Sectors'!$AF$56,'CAP Sectors'!$AF$57)</c:f>
              <c:numCache>
                <c:formatCode>0.00</c:formatCode>
                <c:ptCount val="2"/>
                <c:pt idx="0">
                  <c:v>293.89939774650639</c:v>
                </c:pt>
                <c:pt idx="1">
                  <c:v>1.1006022534936051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190-4962-A955-C2975A222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17015306497902716"/>
          <c:y val="0.83361590278093867"/>
          <c:w val="0.7195047464861285"/>
          <c:h val="0.14348618633653451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2021-25 Sectoral Ceiling</a:t>
            </a:r>
            <a:r>
              <a:rPr lang="en-US" b="1" baseline="0">
                <a:solidFill>
                  <a:sysClr val="windowText" lastClr="000000"/>
                </a:solidFill>
              </a:rPr>
              <a:t> usage</a:t>
            </a:r>
            <a:endParaRPr lang="en-US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321344447328706"/>
          <c:y val="1.160092807424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41292825684925"/>
          <c:y val="9.5045216215722442E-2"/>
          <c:w val="0.66441366704161975"/>
          <c:h val="0.75858346456692916"/>
        </c:manualLayout>
      </c:layout>
      <c:barChart>
        <c:barDir val="bar"/>
        <c:grouping val="clustered"/>
        <c:varyColors val="0"/>
        <c:ser>
          <c:idx val="0"/>
          <c:order val="1"/>
          <c:tx>
            <c:strRef>
              <c:f>'CAP Sectors'!$B$57</c:f>
              <c:strCache>
                <c:ptCount val="1"/>
                <c:pt idx="0">
                  <c:v>Budget used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1570092200013458E-2"/>
                  <c:y val="-5.5684454756380598E-2"/>
                </c:manualLayout>
              </c:layout>
              <c:tx>
                <c:rich>
                  <a:bodyPr/>
                  <a:lstStyle/>
                  <a:p>
                    <a:fld id="{F27103CC-D686-4747-BB01-84EB9D18114D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64E-4410-8972-E66E2D02C4F0}"/>
                </c:ext>
              </c:extLst>
            </c:dLbl>
            <c:dLbl>
              <c:idx val="1"/>
              <c:layout>
                <c:manualLayout>
                  <c:x val="-0.15045215501908421"/>
                  <c:y val="-5.5684454756380598E-2"/>
                </c:manualLayout>
              </c:layout>
              <c:tx>
                <c:rich>
                  <a:bodyPr/>
                  <a:lstStyle/>
                  <a:p>
                    <a:fld id="{40971762-E90A-40B9-98E2-FA1B435539BD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64E-4410-8972-E66E2D02C4F0}"/>
                </c:ext>
              </c:extLst>
            </c:dLbl>
            <c:dLbl>
              <c:idx val="2"/>
              <c:layout>
                <c:manualLayout>
                  <c:x val="-0.19303202484304852"/>
                  <c:y val="-5.1044083526682132E-2"/>
                </c:manualLayout>
              </c:layout>
              <c:tx>
                <c:rich>
                  <a:bodyPr/>
                  <a:lstStyle/>
                  <a:p>
                    <a:fld id="{2A24C1B2-5137-4265-962D-0579348DAB55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64E-4410-8972-E66E2D02C4F0}"/>
                </c:ext>
              </c:extLst>
            </c:dLbl>
            <c:dLbl>
              <c:idx val="3"/>
              <c:layout>
                <c:manualLayout>
                  <c:x val="-0.10191216482555066"/>
                  <c:y val="-5.1044083526682132E-2"/>
                </c:manualLayout>
              </c:layout>
              <c:tx>
                <c:rich>
                  <a:bodyPr/>
                  <a:lstStyle/>
                  <a:p>
                    <a:fld id="{5F2A8DD0-3EEB-4485-A9DF-959FD10CE5C2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64E-4410-8972-E66E2D02C4F0}"/>
                </c:ext>
              </c:extLst>
            </c:dLbl>
            <c:dLbl>
              <c:idx val="4"/>
              <c:layout>
                <c:manualLayout>
                  <c:x val="-2.4244084874006134E-2"/>
                  <c:y val="-5.1044083526682174E-2"/>
                </c:manualLayout>
              </c:layout>
              <c:tx>
                <c:rich>
                  <a:bodyPr/>
                  <a:lstStyle/>
                  <a:p>
                    <a:fld id="{C949857D-5CFF-4A49-BB2D-5C62D966C02E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64E-4410-8972-E66E2D02C4F0}"/>
                </c:ext>
              </c:extLst>
            </c:dLbl>
            <c:dLbl>
              <c:idx val="5"/>
              <c:layout>
                <c:manualLayout>
                  <c:x val="-0.11042821570380626"/>
                  <c:y val="-6.0324825986078884E-2"/>
                </c:manualLayout>
              </c:layout>
              <c:tx>
                <c:rich>
                  <a:bodyPr/>
                  <a:lstStyle/>
                  <a:p>
                    <a:fld id="{B907858F-8C99-4912-B7E2-B2F1F55D51E0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64E-4410-8972-E66E2D02C4F0}"/>
                </c:ext>
              </c:extLst>
            </c:dLbl>
            <c:dLbl>
              <c:idx val="6"/>
              <c:layout>
                <c:manualLayout>
                  <c:x val="-0.42388403372655342"/>
                  <c:y val="-5.5684454756380508E-2"/>
                </c:manualLayout>
              </c:layout>
              <c:tx>
                <c:rich>
                  <a:bodyPr/>
                  <a:lstStyle/>
                  <a:p>
                    <a:fld id="{0F8A9A56-FC84-44B3-8513-38308CF9009D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64E-4410-8972-E66E2D02C4F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'CAP Sectors'!$A$58:$A$64</c:f>
              <c:strCache>
                <c:ptCount val="7"/>
                <c:pt idx="0">
                  <c:v>Other</c:v>
                </c:pt>
                <c:pt idx="1">
                  <c:v>Electricity</c:v>
                </c:pt>
                <c:pt idx="2">
                  <c:v>Transport</c:v>
                </c:pt>
                <c:pt idx="3">
                  <c:v>Buildings (Residential)</c:v>
                </c:pt>
                <c:pt idx="4">
                  <c:v>Buildings (Commercial and Public)</c:v>
                </c:pt>
                <c:pt idx="5">
                  <c:v>Industry</c:v>
                </c:pt>
                <c:pt idx="6">
                  <c:v>Agriculture</c:v>
                </c:pt>
              </c:strCache>
            </c:strRef>
          </c:cat>
          <c:val>
            <c:numRef>
              <c:f>'CAP Sectors'!$B$58:$B$64</c:f>
              <c:numCache>
                <c:formatCode>0.000</c:formatCode>
                <c:ptCount val="7"/>
                <c:pt idx="0">
                  <c:v>8.7843210007738417</c:v>
                </c:pt>
                <c:pt idx="1">
                  <c:v>40.118207871893318</c:v>
                </c:pt>
                <c:pt idx="2">
                  <c:v>58.397114609324362</c:v>
                </c:pt>
                <c:pt idx="3">
                  <c:v>28.258481488714342</c:v>
                </c:pt>
                <c:pt idx="4">
                  <c:v>6.96777950791145</c:v>
                </c:pt>
                <c:pt idx="5">
                  <c:v>32.738246373020075</c:v>
                </c:pt>
                <c:pt idx="6">
                  <c:v>105.30115317401365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'CAP Sectors'!$D$58:$D$64</c15:f>
                <c15:dlblRangeCache>
                  <c:ptCount val="7"/>
                  <c:pt idx="0">
                    <c:v>97.6%</c:v>
                  </c:pt>
                  <c:pt idx="1">
                    <c:v>100.3%</c:v>
                  </c:pt>
                  <c:pt idx="2">
                    <c:v>108.1%</c:v>
                  </c:pt>
                  <c:pt idx="3">
                    <c:v>97.4%</c:v>
                  </c:pt>
                  <c:pt idx="4">
                    <c:v>99.5%</c:v>
                  </c:pt>
                  <c:pt idx="5">
                    <c:v>109.1%</c:v>
                  </c:pt>
                  <c:pt idx="6">
                    <c:v>99.3%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964E-4410-8972-E66E2D02C4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982693263"/>
        <c:axId val="1982693679"/>
      </c:barChart>
      <c:barChart>
        <c:barDir val="bar"/>
        <c:grouping val="clustered"/>
        <c:varyColors val="0"/>
        <c:ser>
          <c:idx val="1"/>
          <c:order val="0"/>
          <c:tx>
            <c:strRef>
              <c:f>'CAP Sectors'!$C$57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>
              <a:solidFill>
                <a:sysClr val="window" lastClr="FFFFFF">
                  <a:lumMod val="65000"/>
                </a:sysClr>
              </a:solidFill>
            </a:ln>
            <a:effectLst>
              <a:outerShdw dist="25400" algn="ctr" rotWithShape="0">
                <a:srgbClr val="00B0F0"/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'CAP Sectors'!$A$58:$A$64</c:f>
              <c:strCache>
                <c:ptCount val="7"/>
                <c:pt idx="0">
                  <c:v>Other</c:v>
                </c:pt>
                <c:pt idx="1">
                  <c:v>Electricity</c:v>
                </c:pt>
                <c:pt idx="2">
                  <c:v>Transport</c:v>
                </c:pt>
                <c:pt idx="3">
                  <c:v>Buildings (Residential)</c:v>
                </c:pt>
                <c:pt idx="4">
                  <c:v>Buildings (Commercial and Public)</c:v>
                </c:pt>
                <c:pt idx="5">
                  <c:v>Industry</c:v>
                </c:pt>
                <c:pt idx="6">
                  <c:v>Agriculture</c:v>
                </c:pt>
              </c:strCache>
            </c:strRef>
          </c:cat>
          <c:val>
            <c:numRef>
              <c:f>'CAP Sectors'!$C$58:$C$64</c:f>
              <c:numCache>
                <c:formatCode>0.000</c:formatCode>
                <c:ptCount val="7"/>
                <c:pt idx="0">
                  <c:v>9</c:v>
                </c:pt>
                <c:pt idx="1">
                  <c:v>40</c:v>
                </c:pt>
                <c:pt idx="2">
                  <c:v>54</c:v>
                </c:pt>
                <c:pt idx="3">
                  <c:v>29</c:v>
                </c:pt>
                <c:pt idx="4">
                  <c:v>7</c:v>
                </c:pt>
                <c:pt idx="5">
                  <c:v>30</c:v>
                </c:pt>
                <c:pt idx="6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4E-4410-8972-E66E2D02C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7276767"/>
        <c:axId val="307288831"/>
      </c:barChart>
      <c:dateAx>
        <c:axId val="19826932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693679"/>
        <c:crosses val="autoZero"/>
        <c:auto val="0"/>
        <c:lblOffset val="100"/>
        <c:baseTimeUnit val="days"/>
      </c:dateAx>
      <c:valAx>
        <c:axId val="1982693679"/>
        <c:scaling>
          <c:orientation val="minMax"/>
          <c:max val="120"/>
        </c:scaling>
        <c:delete val="0"/>
        <c:axPos val="b"/>
        <c:majorGridlines>
          <c:spPr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 sz="1400" b="1">
                    <a:solidFill>
                      <a:sysClr val="windowText" lastClr="000000"/>
                    </a:solidFill>
                  </a:rPr>
                  <a:t>Million tonnes CO</a:t>
                </a:r>
                <a:r>
                  <a:rPr lang="en-IE" sz="1400" b="1" baseline="-25000">
                    <a:solidFill>
                      <a:sysClr val="windowText" lastClr="000000"/>
                    </a:solidFill>
                  </a:rPr>
                  <a:t>2</a:t>
                </a:r>
                <a:r>
                  <a:rPr lang="en-IE" sz="1400" b="1">
                    <a:solidFill>
                      <a:sysClr val="windowText" lastClr="000000"/>
                    </a:solidFill>
                  </a:rPr>
                  <a:t> eq</a:t>
                </a:r>
              </a:p>
            </c:rich>
          </c:tx>
          <c:layout>
            <c:manualLayout>
              <c:xMode val="edge"/>
              <c:yMode val="edge"/>
              <c:x val="0.42934543205545966"/>
              <c:y val="0.93017976871220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693263"/>
        <c:crosses val="autoZero"/>
        <c:crossBetween val="between"/>
      </c:valAx>
      <c:valAx>
        <c:axId val="307288831"/>
        <c:scaling>
          <c:orientation val="minMax"/>
        </c:scaling>
        <c:delete val="1"/>
        <c:axPos val="t"/>
        <c:numFmt formatCode="0.000" sourceLinked="1"/>
        <c:majorTickMark val="out"/>
        <c:minorTickMark val="none"/>
        <c:tickLblPos val="nextTo"/>
        <c:crossAx val="307276767"/>
        <c:crosses val="max"/>
        <c:crossBetween val="between"/>
      </c:valAx>
      <c:catAx>
        <c:axId val="30727676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72888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35794676480658"/>
          <c:y val="3.2305425715905112E-2"/>
          <c:w val="0.68521140020540916"/>
          <c:h val="0.8362209728118740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'CAP Sectors'!$F$57</c:f>
              <c:strCache>
                <c:ptCount val="1"/>
                <c:pt idx="0">
                  <c:v>Req'd AAR</c:v>
                </c:pt>
              </c:strCache>
            </c:strRef>
          </c:tx>
          <c:spPr>
            <a:gradFill flip="none" rotWithShape="1">
              <a:gsLst>
                <a:gs pos="74000">
                  <a:srgbClr val="FD6048"/>
                </a:gs>
                <a:gs pos="21000">
                  <a:schemeClr val="accent6">
                    <a:lumMod val="60000"/>
                    <a:lumOff val="40000"/>
                  </a:schemeClr>
                </a:gs>
                <a:gs pos="100000">
                  <a:srgbClr val="FF0000"/>
                </a:gs>
              </a:gsLst>
              <a:lin ang="0" scaled="1"/>
              <a:tileRect/>
            </a:gradFill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92000">
                    <a:srgbClr val="FD6048"/>
                  </a:gs>
                  <a:gs pos="78000">
                    <a:schemeClr val="accent6">
                      <a:lumMod val="60000"/>
                      <a:lumOff val="40000"/>
                    </a:schemeClr>
                  </a:gs>
                  <a:gs pos="100000">
                    <a:srgbClr val="FF0000"/>
                  </a:gs>
                </a:gsLst>
                <a:lin ang="0" scaled="1"/>
                <a:tileRect/>
              </a:gra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98-4AB4-95A2-4BC627D68CE1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26000">
                    <a:srgbClr val="FD6048"/>
                  </a:gs>
                  <a:gs pos="0">
                    <a:schemeClr val="accent6">
                      <a:lumMod val="60000"/>
                      <a:lumOff val="40000"/>
                    </a:schemeClr>
                  </a:gs>
                  <a:gs pos="100000">
                    <a:srgbClr val="FF0000"/>
                  </a:gs>
                </a:gsLst>
                <a:lin ang="0" scaled="1"/>
                <a:tileRect/>
              </a:gra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98-4AB4-95A2-4BC627D68CE1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82000">
                    <a:srgbClr val="FD6048"/>
                  </a:gs>
                  <a:gs pos="70000">
                    <a:schemeClr val="accent6">
                      <a:lumMod val="60000"/>
                      <a:lumOff val="40000"/>
                    </a:schemeClr>
                  </a:gs>
                  <a:gs pos="100000">
                    <a:srgbClr val="FF0000"/>
                  </a:gs>
                </a:gsLst>
                <a:lin ang="0" scaled="1"/>
                <a:tileRect/>
              </a:gra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298-4AB4-95A2-4BC627D68CE1}"/>
              </c:ext>
            </c:extLst>
          </c:dPt>
          <c:dPt>
            <c:idx val="3"/>
            <c:invertIfNegative val="0"/>
            <c:bubble3D val="0"/>
            <c:spPr>
              <a:gradFill flip="none" rotWithShape="1">
                <a:gsLst>
                  <a:gs pos="81000">
                    <a:srgbClr val="FD6048"/>
                  </a:gs>
                  <a:gs pos="68000">
                    <a:schemeClr val="accent6">
                      <a:lumMod val="60000"/>
                      <a:lumOff val="40000"/>
                    </a:schemeClr>
                  </a:gs>
                  <a:gs pos="100000">
                    <a:srgbClr val="FF0000"/>
                  </a:gs>
                </a:gsLst>
                <a:lin ang="0" scaled="1"/>
                <a:tileRect/>
              </a:gra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298-4AB4-95A2-4BC627D68CE1}"/>
              </c:ext>
            </c:extLst>
          </c:dPt>
          <c:dPt>
            <c:idx val="4"/>
            <c:invertIfNegative val="0"/>
            <c:bubble3D val="0"/>
            <c:spPr>
              <a:gradFill flip="none" rotWithShape="1">
                <a:gsLst>
                  <a:gs pos="100000">
                    <a:srgbClr val="FD6048"/>
                  </a:gs>
                  <a:gs pos="81000">
                    <a:schemeClr val="accent6">
                      <a:lumMod val="60000"/>
                      <a:lumOff val="40000"/>
                    </a:schemeClr>
                  </a:gs>
                  <a:gs pos="100000">
                    <a:srgbClr val="FF0000"/>
                  </a:gs>
                </a:gsLst>
                <a:lin ang="0" scaled="1"/>
                <a:tileRect/>
              </a:gra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298-4AB4-95A2-4BC627D68CE1}"/>
              </c:ext>
            </c:extLst>
          </c:dPt>
          <c:dPt>
            <c:idx val="5"/>
            <c:invertIfNegative val="0"/>
            <c:bubble3D val="0"/>
            <c:spPr>
              <a:gradFill flip="none" rotWithShape="1">
                <a:gsLst>
                  <a:gs pos="60000">
                    <a:srgbClr val="FD6048"/>
                  </a:gs>
                  <a:gs pos="31000">
                    <a:schemeClr val="accent6">
                      <a:lumMod val="60000"/>
                      <a:lumOff val="40000"/>
                    </a:schemeClr>
                  </a:gs>
                  <a:gs pos="100000">
                    <a:srgbClr val="FF0000"/>
                  </a:gs>
                </a:gsLst>
                <a:lin ang="0" scaled="1"/>
                <a:tileRect/>
              </a:gra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298-4AB4-95A2-4BC627D68CE1}"/>
              </c:ext>
            </c:extLst>
          </c:dPt>
          <c:dPt>
            <c:idx val="6"/>
            <c:invertIfNegative val="0"/>
            <c:bubble3D val="0"/>
            <c:spPr>
              <a:gradFill flip="none" rotWithShape="1">
                <a:gsLst>
                  <a:gs pos="65000">
                    <a:srgbClr val="FD6048"/>
                  </a:gs>
                  <a:gs pos="28000">
                    <a:schemeClr val="accent6">
                      <a:lumMod val="60000"/>
                      <a:lumOff val="40000"/>
                    </a:schemeClr>
                  </a:gs>
                  <a:gs pos="100000">
                    <a:srgbClr val="FF0000"/>
                  </a:gs>
                </a:gsLst>
                <a:lin ang="0" scaled="1"/>
                <a:tileRect/>
              </a:gra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298-4AB4-95A2-4BC627D68CE1}"/>
              </c:ext>
            </c:extLst>
          </c:dPt>
          <c:dPt>
            <c:idx val="7"/>
            <c:invertIfNegative val="0"/>
            <c:bubble3D val="0"/>
            <c:spPr>
              <a:gradFill flip="none" rotWithShape="1">
                <a:gsLst>
                  <a:gs pos="74000">
                    <a:srgbClr val="FD6048"/>
                  </a:gs>
                  <a:gs pos="21000">
                    <a:schemeClr val="accent6">
                      <a:lumMod val="60000"/>
                      <a:lumOff val="40000"/>
                    </a:schemeClr>
                  </a:gs>
                  <a:gs pos="100000">
                    <a:srgbClr val="FF0000"/>
                  </a:gs>
                </a:gsLst>
                <a:lin ang="0" scaled="1"/>
                <a:tileRect/>
              </a:gra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8298-4AB4-95A2-4BC627D68CE1}"/>
              </c:ext>
            </c:extLst>
          </c:dPt>
          <c:dPt>
            <c:idx val="8"/>
            <c:invertIfNegative val="0"/>
            <c:bubble3D val="0"/>
            <c:spPr>
              <a:gradFill flip="none" rotWithShape="1">
                <a:gsLst>
                  <a:gs pos="74000">
                    <a:srgbClr val="FD6048"/>
                  </a:gs>
                  <a:gs pos="21000">
                    <a:schemeClr val="accent6">
                      <a:lumMod val="60000"/>
                      <a:lumOff val="40000"/>
                    </a:schemeClr>
                  </a:gs>
                  <a:gs pos="100000">
                    <a:srgbClr val="FF0000"/>
                  </a:gs>
                </a:gsLst>
                <a:lin ang="0" scaled="1"/>
                <a:tileRect/>
              </a:gra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8298-4AB4-95A2-4BC627D68CE1}"/>
              </c:ext>
            </c:extLst>
          </c:dPt>
          <c:dPt>
            <c:idx val="9"/>
            <c:invertIfNegative val="0"/>
            <c:bubble3D val="0"/>
            <c:spPr>
              <a:gradFill flip="none" rotWithShape="1">
                <a:gsLst>
                  <a:gs pos="69000">
                    <a:srgbClr val="FD6048"/>
                  </a:gs>
                  <a:gs pos="17000">
                    <a:schemeClr val="accent6">
                      <a:lumMod val="60000"/>
                      <a:lumOff val="40000"/>
                    </a:schemeClr>
                  </a:gs>
                  <a:gs pos="100000">
                    <a:srgbClr val="FF0000"/>
                  </a:gs>
                </a:gsLst>
                <a:lin ang="0" scaled="1"/>
                <a:tileRect/>
              </a:gra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8298-4AB4-95A2-4BC627D68C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'CAP Sectors'!$A$58:$A$67</c:f>
              <c:strCache>
                <c:ptCount val="10"/>
                <c:pt idx="0">
                  <c:v>Other</c:v>
                </c:pt>
                <c:pt idx="1">
                  <c:v>Electricity</c:v>
                </c:pt>
                <c:pt idx="2">
                  <c:v>Transport</c:v>
                </c:pt>
                <c:pt idx="3">
                  <c:v>Buildings (Residential)</c:v>
                </c:pt>
                <c:pt idx="4">
                  <c:v>Buildings (Commercial and Public)</c:v>
                </c:pt>
                <c:pt idx="5">
                  <c:v>Industry</c:v>
                </c:pt>
                <c:pt idx="6">
                  <c:v>Agriculture</c:v>
                </c:pt>
                <c:pt idx="9">
                  <c:v>Total</c:v>
                </c:pt>
              </c:strCache>
            </c:strRef>
          </c:cat>
          <c:val>
            <c:numRef>
              <c:f>'CAP Sectors'!$F$58:$F$67</c:f>
              <c:numCache>
                <c:formatCode>0.0%</c:formatCode>
                <c:ptCount val="10"/>
                <c:pt idx="0">
                  <c:v>-6.832016312807572E-2</c:v>
                </c:pt>
                <c:pt idx="1">
                  <c:v>8.5356126086281375E-2</c:v>
                </c:pt>
                <c:pt idx="2">
                  <c:v>1.4816148860979808E-2</c:v>
                </c:pt>
                <c:pt idx="3">
                  <c:v>4.9963792245274578E-2</c:v>
                </c:pt>
                <c:pt idx="4">
                  <c:v>3.5150417868235681E-2</c:v>
                </c:pt>
                <c:pt idx="5">
                  <c:v>3.2817833597078336E-2</c:v>
                </c:pt>
                <c:pt idx="6">
                  <c:v>1.8217561006528735E-3</c:v>
                </c:pt>
                <c:pt idx="9">
                  <c:v>2.1566670360071642E-2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298-4AB4-95A2-4BC627D68CE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75647679"/>
        <c:axId val="575634367"/>
      </c:barChart>
      <c:catAx>
        <c:axId val="5756476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200" b="0" i="0" u="none" strike="noStrike" kern="1200" cap="non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34367"/>
        <c:crosses val="autoZero"/>
        <c:auto val="1"/>
        <c:lblAlgn val="ctr"/>
        <c:lblOffset val="200"/>
        <c:noMultiLvlLbl val="0"/>
      </c:catAx>
      <c:valAx>
        <c:axId val="575634367"/>
        <c:scaling>
          <c:orientation val="minMax"/>
          <c:min val="-0.2"/>
        </c:scaling>
        <c:delete val="0"/>
        <c:axPos val="b"/>
        <c:majorGridlines>
          <c:spPr>
            <a:ln w="190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47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2025</a:t>
            </a:r>
          </a:p>
        </c:rich>
      </c:tx>
      <c:layout>
        <c:manualLayout>
          <c:xMode val="edge"/>
          <c:yMode val="edge"/>
          <c:x val="0.4547679457327185"/>
          <c:y val="0.36826452223975759"/>
        </c:manualLayout>
      </c:layout>
      <c:overlay val="1"/>
    </c:title>
    <c:autoTitleDeleted val="0"/>
    <c:plotArea>
      <c:layout/>
      <c:doughnutChart>
        <c:varyColors val="1"/>
        <c:ser>
          <c:idx val="0"/>
          <c:order val="0"/>
          <c:tx>
            <c:strRef>
              <c:f>'NEW Summary 1990-2025 GHG'!$AK$1</c:f>
              <c:strCache>
                <c:ptCount val="1"/>
                <c:pt idx="0">
                  <c:v>2025</c:v>
                </c:pt>
              </c:strCache>
            </c:strRef>
          </c:tx>
          <c:dLbls>
            <c:dLbl>
              <c:idx val="0"/>
              <c:layout>
                <c:manualLayout>
                  <c:x val="9.1923531248936916E-2"/>
                  <c:y val="-0.1098702126381226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AE-4A1B-98FF-981289A44E64}"/>
                </c:ext>
              </c:extLst>
            </c:dLbl>
            <c:dLbl>
              <c:idx val="1"/>
              <c:layout>
                <c:manualLayout>
                  <c:x val="0.11974107905801203"/>
                  <c:y val="-2.803267348627813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AE-4A1B-98FF-981289A44E64}"/>
                </c:ext>
              </c:extLst>
            </c:dLbl>
            <c:dLbl>
              <c:idx val="2"/>
              <c:layout>
                <c:manualLayout>
                  <c:x val="0.17759088439959966"/>
                  <c:y val="1.392243837546072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AE-4A1B-98FF-981289A44E64}"/>
                </c:ext>
              </c:extLst>
            </c:dLbl>
            <c:dLbl>
              <c:idx val="3"/>
              <c:layout>
                <c:manualLayout>
                  <c:x val="0.14264964784195613"/>
                  <c:y val="6.389005366205206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AE-4A1B-98FF-981289A44E64}"/>
                </c:ext>
              </c:extLst>
            </c:dLbl>
            <c:dLbl>
              <c:idx val="4"/>
              <c:layout>
                <c:manualLayout>
                  <c:x val="0.10443318170901519"/>
                  <c:y val="0.1120028222986759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AE-4A1B-98FF-981289A44E64}"/>
                </c:ext>
              </c:extLst>
            </c:dLbl>
            <c:dLbl>
              <c:idx val="5"/>
              <c:layout>
                <c:manualLayout>
                  <c:x val="4.3775401952001511E-2"/>
                  <c:y val="0.1218476808046885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AE-4A1B-98FF-981289A44E64}"/>
                </c:ext>
              </c:extLst>
            </c:dLbl>
            <c:dLbl>
              <c:idx val="6"/>
              <c:layout>
                <c:manualLayout>
                  <c:x val="-8.8361622452355848E-2"/>
                  <c:y val="0.1238601257200054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AE-4A1B-98FF-981289A44E64}"/>
                </c:ext>
              </c:extLst>
            </c:dLbl>
            <c:dLbl>
              <c:idx val="7"/>
              <c:layout>
                <c:manualLayout>
                  <c:x val="-0.14770441452501182"/>
                  <c:y val="7.384752729579943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01408735251159"/>
                      <c:h val="5.47515562435494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1AE-4A1B-98FF-981289A44E64}"/>
                </c:ext>
              </c:extLst>
            </c:dLbl>
            <c:dLbl>
              <c:idx val="8"/>
              <c:layout>
                <c:manualLayout>
                  <c:x val="-0.12166653266828908"/>
                  <c:y val="-4.795501308757654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AE-4A1B-98FF-981289A44E64}"/>
                </c:ext>
              </c:extLst>
            </c:dLbl>
            <c:dLbl>
              <c:idx val="9"/>
              <c:layout>
                <c:manualLayout>
                  <c:x val="-1.9057532718796219E-2"/>
                  <c:y val="-0.1198651197919828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AE-4A1B-98FF-981289A44E6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1990-2025 GHG'!$A$2,'NEW Summary 1990-2025 GHG'!$A$7,'NEW Summary 1990-2025 GHG'!$A$8,'NEW Summary 1990-2025 GHG'!$A$9,'NEW Summary 1990-2025 GHG'!$A$10,'NEW Summary 1990-2025 GHG'!$A$11,'NEW Summary 1990-2025 GHG'!$A$17,'NEW Summary 1990-2025 GHG'!$A$23,'NEW Summary 1990-2025 GHG'!$A$24,'NEW Summary 1990-2025 GHG'!$A$32)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1990-2025 GHG'!$AK$2,'NEW Summary 1990-2025 GHG'!$AK$7,'NEW Summary 1990-2025 GHG'!$AK$8,'NEW Summary 1990-2025 GHG'!$AK$9,'NEW Summary 1990-2025 GHG'!$AK$10,'NEW Summary 1990-2025 GHG'!$AK$11,'NEW Summary 1990-2025 GHG'!$AK$17,'NEW Summary 1990-2025 GHG'!$AK$23,'NEW Summary 1990-2025 GHG'!$AK$24,'NEW Summary 1990-2025 GHG'!$AK$32)</c:f>
              <c:numCache>
                <c:formatCode>0.00</c:formatCode>
                <c:ptCount val="10"/>
                <c:pt idx="0">
                  <c:v>6589.555920844462</c:v>
                </c:pt>
                <c:pt idx="1">
                  <c:v>5211.7931715401201</c:v>
                </c:pt>
                <c:pt idx="2">
                  <c:v>4161.5709865235713</c:v>
                </c:pt>
                <c:pt idx="3">
                  <c:v>712.11390858710001</c:v>
                </c:pt>
                <c:pt idx="4">
                  <c:v>679.39990741638189</c:v>
                </c:pt>
                <c:pt idx="5">
                  <c:v>11607.603864902778</c:v>
                </c:pt>
                <c:pt idx="6">
                  <c:v>1833.5434595782401</c:v>
                </c:pt>
                <c:pt idx="7">
                  <c:v>636.10671305374433</c:v>
                </c:pt>
                <c:pt idx="8">
                  <c:v>20398.448033618672</c:v>
                </c:pt>
                <c:pt idx="9">
                  <c:v>819.53686301069376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1AE-4A1B-98FF-981289A44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4868764050502941"/>
          <c:h val="0.16082729966854031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1990-2025 GHG'!$A$2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1990-2025 GHG'!$B$1:$AK$1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GHG'!$B$2:$AK$2</c:f>
              <c:numCache>
                <c:formatCode>0.00</c:formatCode>
                <c:ptCount val="36"/>
                <c:pt idx="0">
                  <c:v>11315.301005472866</c:v>
                </c:pt>
                <c:pt idx="1">
                  <c:v>11765.228522519617</c:v>
                </c:pt>
                <c:pt idx="2">
                  <c:v>12421.329934179974</c:v>
                </c:pt>
                <c:pt idx="3">
                  <c:v>12439.203148006565</c:v>
                </c:pt>
                <c:pt idx="4">
                  <c:v>12774.644178044819</c:v>
                </c:pt>
                <c:pt idx="5">
                  <c:v>13458.404690372941</c:v>
                </c:pt>
                <c:pt idx="6">
                  <c:v>14175.558808211925</c:v>
                </c:pt>
                <c:pt idx="7">
                  <c:v>14829.635122104486</c:v>
                </c:pt>
                <c:pt idx="8">
                  <c:v>15195.44996359741</c:v>
                </c:pt>
                <c:pt idx="9">
                  <c:v>15891.645103417151</c:v>
                </c:pt>
                <c:pt idx="10">
                  <c:v>16168.629446525063</c:v>
                </c:pt>
                <c:pt idx="11">
                  <c:v>17455.607981275611</c:v>
                </c:pt>
                <c:pt idx="12">
                  <c:v>16457.932924800811</c:v>
                </c:pt>
                <c:pt idx="13">
                  <c:v>16510.314840322626</c:v>
                </c:pt>
                <c:pt idx="14">
                  <c:v>15379.178063121177</c:v>
                </c:pt>
                <c:pt idx="15">
                  <c:v>15863.207834359135</c:v>
                </c:pt>
                <c:pt idx="16">
                  <c:v>15119.001938303685</c:v>
                </c:pt>
                <c:pt idx="17">
                  <c:v>14630.132405644532</c:v>
                </c:pt>
                <c:pt idx="18">
                  <c:v>14741.793508870869</c:v>
                </c:pt>
                <c:pt idx="19">
                  <c:v>13150.097289462346</c:v>
                </c:pt>
                <c:pt idx="20">
                  <c:v>13412.340080309787</c:v>
                </c:pt>
                <c:pt idx="21">
                  <c:v>12014.354536453155</c:v>
                </c:pt>
                <c:pt idx="22">
                  <c:v>12856.144755758403</c:v>
                </c:pt>
                <c:pt idx="23">
                  <c:v>11494.357498067697</c:v>
                </c:pt>
                <c:pt idx="24">
                  <c:v>11335.656495350378</c:v>
                </c:pt>
                <c:pt idx="25">
                  <c:v>11898.441141706975</c:v>
                </c:pt>
                <c:pt idx="26">
                  <c:v>12620.594444558881</c:v>
                </c:pt>
                <c:pt idx="27">
                  <c:v>11809.839859021191</c:v>
                </c:pt>
                <c:pt idx="28">
                  <c:v>10485.923453256857</c:v>
                </c:pt>
                <c:pt idx="29">
                  <c:v>9235.802033265225</c:v>
                </c:pt>
                <c:pt idx="30">
                  <c:v>8589.7396329493185</c:v>
                </c:pt>
                <c:pt idx="31">
                  <c:v>10112.971298881808</c:v>
                </c:pt>
                <c:pt idx="32">
                  <c:v>9928.0675222253194</c:v>
                </c:pt>
                <c:pt idx="33">
                  <c:v>7784.4273652604943</c:v>
                </c:pt>
                <c:pt idx="34">
                  <c:v>7095.0796459024004</c:v>
                </c:pt>
                <c:pt idx="35">
                  <c:v>6589.555920844462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A-4283-912C-28822C3D59D2}"/>
            </c:ext>
          </c:extLst>
        </c:ser>
        <c:ser>
          <c:idx val="1"/>
          <c:order val="1"/>
          <c:tx>
            <c:strRef>
              <c:f>'NEW Summary 1990-2025 GHG'!$A$7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1990-2025 GHG'!$B$1:$AK$1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GHG'!$B$7:$AK$7</c:f>
              <c:numCache>
                <c:formatCode>0.00</c:formatCode>
                <c:ptCount val="36"/>
                <c:pt idx="0">
                  <c:v>7569.7124798227551</c:v>
                </c:pt>
                <c:pt idx="1">
                  <c:v>7474.0514044750162</c:v>
                </c:pt>
                <c:pt idx="2">
                  <c:v>6677.7297275480641</c:v>
                </c:pt>
                <c:pt idx="3">
                  <c:v>6676.3113380345594</c:v>
                </c:pt>
                <c:pt idx="4">
                  <c:v>6579.3245874862178</c:v>
                </c:pt>
                <c:pt idx="5">
                  <c:v>6407.1463332892217</c:v>
                </c:pt>
                <c:pt idx="6">
                  <c:v>6768.3804271259223</c:v>
                </c:pt>
                <c:pt idx="7">
                  <c:v>6517.5882400729042</c:v>
                </c:pt>
                <c:pt idx="8">
                  <c:v>7096.3923746662886</c:v>
                </c:pt>
                <c:pt idx="9">
                  <c:v>6840.9270729627233</c:v>
                </c:pt>
                <c:pt idx="10">
                  <c:v>6943.6446449057967</c:v>
                </c:pt>
                <c:pt idx="11">
                  <c:v>7299.7801866056707</c:v>
                </c:pt>
                <c:pt idx="12">
                  <c:v>7316.6648236510082</c:v>
                </c:pt>
                <c:pt idx="13">
                  <c:v>7556.498080075311</c:v>
                </c:pt>
                <c:pt idx="14">
                  <c:v>7724.5242980131015</c:v>
                </c:pt>
                <c:pt idx="15">
                  <c:v>8164.2594411342361</c:v>
                </c:pt>
                <c:pt idx="16">
                  <c:v>8043.0575101418772</c:v>
                </c:pt>
                <c:pt idx="17">
                  <c:v>7882.2340853204023</c:v>
                </c:pt>
                <c:pt idx="18">
                  <c:v>8668.4881409021655</c:v>
                </c:pt>
                <c:pt idx="19">
                  <c:v>8544.9632131553935</c:v>
                </c:pt>
                <c:pt idx="20">
                  <c:v>8859.0804092545568</c:v>
                </c:pt>
                <c:pt idx="21">
                  <c:v>7629.7194176636076</c:v>
                </c:pt>
                <c:pt idx="22">
                  <c:v>7147.388466027287</c:v>
                </c:pt>
                <c:pt idx="23">
                  <c:v>6939.97722702997</c:v>
                </c:pt>
                <c:pt idx="24">
                  <c:v>6245.7821397262342</c:v>
                </c:pt>
                <c:pt idx="25">
                  <c:v>6641.2571316932199</c:v>
                </c:pt>
                <c:pt idx="26">
                  <c:v>6889.0510079993564</c:v>
                </c:pt>
                <c:pt idx="27">
                  <c:v>6331.1002822400478</c:v>
                </c:pt>
                <c:pt idx="28">
                  <c:v>6823.5957184152885</c:v>
                </c:pt>
                <c:pt idx="29">
                  <c:v>6546.4494481728379</c:v>
                </c:pt>
                <c:pt idx="30">
                  <c:v>7192.2701968693018</c:v>
                </c:pt>
                <c:pt idx="31">
                  <c:v>6709.3212480257052</c:v>
                </c:pt>
                <c:pt idx="32">
                  <c:v>5621.4616126785768</c:v>
                </c:pt>
                <c:pt idx="33">
                  <c:v>5230.0164671887314</c:v>
                </c:pt>
                <c:pt idx="34">
                  <c:v>5485.8889892812058</c:v>
                </c:pt>
                <c:pt idx="35">
                  <c:v>5211.7931715401201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CA-4283-912C-28822C3D59D2}"/>
            </c:ext>
          </c:extLst>
        </c:ser>
        <c:ser>
          <c:idx val="2"/>
          <c:order val="2"/>
          <c:tx>
            <c:strRef>
              <c:f>'NEW Summary 1990-2025 GHG'!$A$8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1990-2025 GHG'!$B$1:$AK$1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GHG'!$B$8:$AK$8</c:f>
              <c:numCache>
                <c:formatCode>0.00</c:formatCode>
                <c:ptCount val="36"/>
                <c:pt idx="0">
                  <c:v>4093.5373960846191</c:v>
                </c:pt>
                <c:pt idx="1">
                  <c:v>4390.2661752826825</c:v>
                </c:pt>
                <c:pt idx="2">
                  <c:v>4068.9024982744181</c:v>
                </c:pt>
                <c:pt idx="3">
                  <c:v>4276.3611882099631</c:v>
                </c:pt>
                <c:pt idx="4">
                  <c:v>4544.7410305683798</c:v>
                </c:pt>
                <c:pt idx="5">
                  <c:v>4567.6209369101471</c:v>
                </c:pt>
                <c:pt idx="6">
                  <c:v>4410.5548738409234</c:v>
                </c:pt>
                <c:pt idx="7">
                  <c:v>4761.1518830549567</c:v>
                </c:pt>
                <c:pt idx="8">
                  <c:v>4740.5683505815678</c:v>
                </c:pt>
                <c:pt idx="9">
                  <c:v>4922.6505470164248</c:v>
                </c:pt>
                <c:pt idx="10">
                  <c:v>5706.0346076375372</c:v>
                </c:pt>
                <c:pt idx="11">
                  <c:v>5678.8909288540326</c:v>
                </c:pt>
                <c:pt idx="12">
                  <c:v>5345.234219032106</c:v>
                </c:pt>
                <c:pt idx="13">
                  <c:v>5459.8276375754558</c:v>
                </c:pt>
                <c:pt idx="14">
                  <c:v>5524.2452660336039</c:v>
                </c:pt>
                <c:pt idx="15">
                  <c:v>5652.9192042348277</c:v>
                </c:pt>
                <c:pt idx="16">
                  <c:v>5450.900864787136</c:v>
                </c:pt>
                <c:pt idx="17">
                  <c:v>5525.6226729565014</c:v>
                </c:pt>
                <c:pt idx="18">
                  <c:v>5352.3425940252482</c:v>
                </c:pt>
                <c:pt idx="19">
                  <c:v>4330.9930654254958</c:v>
                </c:pt>
                <c:pt idx="20">
                  <c:v>4272.9798997267435</c:v>
                </c:pt>
                <c:pt idx="21">
                  <c:v>3843.9909755188937</c:v>
                </c:pt>
                <c:pt idx="22">
                  <c:v>3924.9476373301859</c:v>
                </c:pt>
                <c:pt idx="23">
                  <c:v>4149.7139661441261</c:v>
                </c:pt>
                <c:pt idx="24">
                  <c:v>4211.6279635591736</c:v>
                </c:pt>
                <c:pt idx="25">
                  <c:v>4320.706141419867</c:v>
                </c:pt>
                <c:pt idx="26">
                  <c:v>4406.7527533536913</c:v>
                </c:pt>
                <c:pt idx="27">
                  <c:v>4636.1769070251567</c:v>
                </c:pt>
                <c:pt idx="28">
                  <c:v>4837.1599631103463</c:v>
                </c:pt>
                <c:pt idx="29">
                  <c:v>4763.1462956701844</c:v>
                </c:pt>
                <c:pt idx="30">
                  <c:v>4794.1880787963883</c:v>
                </c:pt>
                <c:pt idx="31">
                  <c:v>4786.3072277340525</c:v>
                </c:pt>
                <c:pt idx="32">
                  <c:v>4530.9243518203275</c:v>
                </c:pt>
                <c:pt idx="33">
                  <c:v>4324.6568372401462</c:v>
                </c:pt>
                <c:pt idx="34">
                  <c:v>4331.753387239256</c:v>
                </c:pt>
                <c:pt idx="35">
                  <c:v>4161.5709865235713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CA-4283-912C-28822C3D59D2}"/>
            </c:ext>
          </c:extLst>
        </c:ser>
        <c:ser>
          <c:idx val="3"/>
          <c:order val="3"/>
          <c:tx>
            <c:strRef>
              <c:f>'NEW Summary 1990-2025 GHG'!$A$9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1990-2025 GHG'!$B$1:$AK$1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GHG'!$B$9:$AK$9</c:f>
              <c:numCache>
                <c:formatCode>0.00</c:formatCode>
                <c:ptCount val="36"/>
                <c:pt idx="0">
                  <c:v>1009.6756971444248</c:v>
                </c:pt>
                <c:pt idx="1">
                  <c:v>1028.1453889225793</c:v>
                </c:pt>
                <c:pt idx="2">
                  <c:v>1022.4598932800901</c:v>
                </c:pt>
                <c:pt idx="3">
                  <c:v>1010.1610259474754</c:v>
                </c:pt>
                <c:pt idx="4">
                  <c:v>1101.6563749788943</c:v>
                </c:pt>
                <c:pt idx="5">
                  <c:v>1080.3861575994138</c:v>
                </c:pt>
                <c:pt idx="6">
                  <c:v>975.88793579256696</c:v>
                </c:pt>
                <c:pt idx="7">
                  <c:v>984.03645698064906</c:v>
                </c:pt>
                <c:pt idx="8">
                  <c:v>970.80526341945574</c:v>
                </c:pt>
                <c:pt idx="9">
                  <c:v>1004.1844922672158</c:v>
                </c:pt>
                <c:pt idx="10">
                  <c:v>1030.0912977928751</c:v>
                </c:pt>
                <c:pt idx="11">
                  <c:v>1020.4485506437919</c:v>
                </c:pt>
                <c:pt idx="12">
                  <c:v>986.75159967082038</c:v>
                </c:pt>
                <c:pt idx="13">
                  <c:v>1084.8920482063729</c:v>
                </c:pt>
                <c:pt idx="14">
                  <c:v>1052.7720089768072</c:v>
                </c:pt>
                <c:pt idx="15">
                  <c:v>1086.2309481197588</c:v>
                </c:pt>
                <c:pt idx="16">
                  <c:v>1080.5986164769949</c:v>
                </c:pt>
                <c:pt idx="17">
                  <c:v>1078.8491031708149</c:v>
                </c:pt>
                <c:pt idx="18">
                  <c:v>1126.4374673820369</c:v>
                </c:pt>
                <c:pt idx="19">
                  <c:v>891.99000363457378</c:v>
                </c:pt>
                <c:pt idx="20">
                  <c:v>982.25936630354238</c:v>
                </c:pt>
                <c:pt idx="21">
                  <c:v>898.93502737574067</c:v>
                </c:pt>
                <c:pt idx="22">
                  <c:v>931.58463070840548</c:v>
                </c:pt>
                <c:pt idx="23">
                  <c:v>931.55148486663552</c:v>
                </c:pt>
                <c:pt idx="24">
                  <c:v>864.46357641129566</c:v>
                </c:pt>
                <c:pt idx="25">
                  <c:v>925.87527838334097</c:v>
                </c:pt>
                <c:pt idx="26">
                  <c:v>857.04580088734588</c:v>
                </c:pt>
                <c:pt idx="27">
                  <c:v>785.65500671807263</c:v>
                </c:pt>
                <c:pt idx="28">
                  <c:v>853.46547347410728</c:v>
                </c:pt>
                <c:pt idx="29">
                  <c:v>805.38696359395919</c:v>
                </c:pt>
                <c:pt idx="30">
                  <c:v>663.10327524697652</c:v>
                </c:pt>
                <c:pt idx="31">
                  <c:v>718.74908464701662</c:v>
                </c:pt>
                <c:pt idx="32">
                  <c:v>690.72072731145727</c:v>
                </c:pt>
                <c:pt idx="33">
                  <c:v>687.87744863098408</c:v>
                </c:pt>
                <c:pt idx="34">
                  <c:v>742.0728381079474</c:v>
                </c:pt>
                <c:pt idx="35">
                  <c:v>712.11390858710001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CA-4283-912C-28822C3D59D2}"/>
            </c:ext>
          </c:extLst>
        </c:ser>
        <c:ser>
          <c:idx val="4"/>
          <c:order val="4"/>
          <c:tx>
            <c:strRef>
              <c:f>'NEW Summary 1990-2025 GHG'!$A$10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1990-2025 GHG'!$B$1:$AK$1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GHG'!$B$10:$AK$10</c:f>
              <c:numCache>
                <c:formatCode>0.00</c:formatCode>
                <c:ptCount val="36"/>
                <c:pt idx="0">
                  <c:v>1123.0310909969073</c:v>
                </c:pt>
                <c:pt idx="1">
                  <c:v>1095.8224261072294</c:v>
                </c:pt>
                <c:pt idx="2">
                  <c:v>1000.6883477082063</c:v>
                </c:pt>
                <c:pt idx="3">
                  <c:v>972.87066351775854</c:v>
                </c:pt>
                <c:pt idx="4">
                  <c:v>978.15194948481633</c:v>
                </c:pt>
                <c:pt idx="5">
                  <c:v>907.90664116874905</c:v>
                </c:pt>
                <c:pt idx="6">
                  <c:v>868.598526372077</c:v>
                </c:pt>
                <c:pt idx="7">
                  <c:v>821.10920498212943</c:v>
                </c:pt>
                <c:pt idx="8">
                  <c:v>770.58880806853858</c:v>
                </c:pt>
                <c:pt idx="9">
                  <c:v>796.53161704088768</c:v>
                </c:pt>
                <c:pt idx="10">
                  <c:v>842.4515085758037</c:v>
                </c:pt>
                <c:pt idx="11">
                  <c:v>809.28949189041646</c:v>
                </c:pt>
                <c:pt idx="12">
                  <c:v>751.2861150755532</c:v>
                </c:pt>
                <c:pt idx="13">
                  <c:v>709.6425909912889</c:v>
                </c:pt>
                <c:pt idx="14">
                  <c:v>660.04458675644912</c:v>
                </c:pt>
                <c:pt idx="15">
                  <c:v>652.46294480390372</c:v>
                </c:pt>
                <c:pt idx="16">
                  <c:v>628.45014163405415</c:v>
                </c:pt>
                <c:pt idx="17">
                  <c:v>591.83133326778204</c:v>
                </c:pt>
                <c:pt idx="18">
                  <c:v>591.12266295214692</c:v>
                </c:pt>
                <c:pt idx="19">
                  <c:v>494.04984817162602</c:v>
                </c:pt>
                <c:pt idx="20">
                  <c:v>519.87114526083337</c:v>
                </c:pt>
                <c:pt idx="21">
                  <c:v>470.63039680007523</c:v>
                </c:pt>
                <c:pt idx="22">
                  <c:v>505.31314848323638</c:v>
                </c:pt>
                <c:pt idx="23">
                  <c:v>574.69308205465143</c:v>
                </c:pt>
                <c:pt idx="24">
                  <c:v>580.32576656888057</c:v>
                </c:pt>
                <c:pt idx="25">
                  <c:v>604.99686446772591</c:v>
                </c:pt>
                <c:pt idx="26">
                  <c:v>627.63472592110838</c:v>
                </c:pt>
                <c:pt idx="27">
                  <c:v>633.14806694644255</c:v>
                </c:pt>
                <c:pt idx="28">
                  <c:v>678.38980513732463</c:v>
                </c:pt>
                <c:pt idx="29">
                  <c:v>704.60776901621239</c:v>
                </c:pt>
                <c:pt idx="30">
                  <c:v>663.52676504506292</c:v>
                </c:pt>
                <c:pt idx="31">
                  <c:v>697.95462510612663</c:v>
                </c:pt>
                <c:pt idx="32">
                  <c:v>689.87751989269123</c:v>
                </c:pt>
                <c:pt idx="33">
                  <c:v>648.87825537559922</c:v>
                </c:pt>
                <c:pt idx="34">
                  <c:v>700.13519283614482</c:v>
                </c:pt>
                <c:pt idx="35">
                  <c:v>679.39990741638189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CA-4283-912C-28822C3D59D2}"/>
            </c:ext>
          </c:extLst>
        </c:ser>
        <c:ser>
          <c:idx val="5"/>
          <c:order val="5"/>
          <c:tx>
            <c:strRef>
              <c:f>'NEW Summary 1990-2025 GHG'!$A$11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1990-2025 GHG'!$B$1:$AK$1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GHG'!$B$11:$AK$11</c:f>
              <c:numCache>
                <c:formatCode>0.00</c:formatCode>
                <c:ptCount val="36"/>
                <c:pt idx="0">
                  <c:v>5143.2200176793176</c:v>
                </c:pt>
                <c:pt idx="1">
                  <c:v>5322.7832705614946</c:v>
                </c:pt>
                <c:pt idx="2">
                  <c:v>5750.6985282709948</c:v>
                </c:pt>
                <c:pt idx="3">
                  <c:v>5725.0394143377143</c:v>
                </c:pt>
                <c:pt idx="4">
                  <c:v>5973.8913934320872</c:v>
                </c:pt>
                <c:pt idx="5">
                  <c:v>6264.1169786522005</c:v>
                </c:pt>
                <c:pt idx="6">
                  <c:v>7306.2869975265749</c:v>
                </c:pt>
                <c:pt idx="7">
                  <c:v>7679.9390846846409</c:v>
                </c:pt>
                <c:pt idx="8">
                  <c:v>9019.9300077280441</c:v>
                </c:pt>
                <c:pt idx="9">
                  <c:v>9739.628664271806</c:v>
                </c:pt>
                <c:pt idx="10">
                  <c:v>10779.065078575934</c:v>
                </c:pt>
                <c:pt idx="11">
                  <c:v>11302.080134697726</c:v>
                </c:pt>
                <c:pt idx="12">
                  <c:v>11495.624932787981</c:v>
                </c:pt>
                <c:pt idx="13">
                  <c:v>11698.304497723837</c:v>
                </c:pt>
                <c:pt idx="14">
                  <c:v>12416.763515431025</c:v>
                </c:pt>
                <c:pt idx="15">
                  <c:v>13126.120385023904</c:v>
                </c:pt>
                <c:pt idx="16">
                  <c:v>13806.997258067277</c:v>
                </c:pt>
                <c:pt idx="17">
                  <c:v>14395.857780299897</c:v>
                </c:pt>
                <c:pt idx="18">
                  <c:v>13667.19863286293</c:v>
                </c:pt>
                <c:pt idx="19">
                  <c:v>12448.027911933108</c:v>
                </c:pt>
                <c:pt idx="20">
                  <c:v>11533.970222784925</c:v>
                </c:pt>
                <c:pt idx="21">
                  <c:v>11225.596111835832</c:v>
                </c:pt>
                <c:pt idx="22">
                  <c:v>10838.420605613859</c:v>
                </c:pt>
                <c:pt idx="23">
                  <c:v>11063.135323963486</c:v>
                </c:pt>
                <c:pt idx="24">
                  <c:v>11346.025711165177</c:v>
                </c:pt>
                <c:pt idx="25">
                  <c:v>11839.39412923561</c:v>
                </c:pt>
                <c:pt idx="26">
                  <c:v>12350.368735270726</c:v>
                </c:pt>
                <c:pt idx="27">
                  <c:v>12201.872706653961</c:v>
                </c:pt>
                <c:pt idx="28">
                  <c:v>12396.293255150986</c:v>
                </c:pt>
                <c:pt idx="29">
                  <c:v>12423.79499678319</c:v>
                </c:pt>
                <c:pt idx="30">
                  <c:v>10484.276404310425</c:v>
                </c:pt>
                <c:pt idx="31">
                  <c:v>11193.285968766259</c:v>
                </c:pt>
                <c:pt idx="32">
                  <c:v>11882.761039958945</c:v>
                </c:pt>
                <c:pt idx="33">
                  <c:v>11931.293482415585</c:v>
                </c:pt>
                <c:pt idx="34">
                  <c:v>11782.170253280794</c:v>
                </c:pt>
                <c:pt idx="35">
                  <c:v>11607.603864902778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CA-4283-912C-28822C3D59D2}"/>
            </c:ext>
          </c:extLst>
        </c:ser>
        <c:ser>
          <c:idx val="6"/>
          <c:order val="6"/>
          <c:tx>
            <c:strRef>
              <c:f>'NEW Summary 1990-2025 GHG'!$A$17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1990-2025 GHG'!$B$1:$AK$1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GHG'!$B$17:$AK$17</c:f>
              <c:numCache>
                <c:formatCode>0.00</c:formatCode>
                <c:ptCount val="36"/>
                <c:pt idx="0">
                  <c:v>3161.559738976744</c:v>
                </c:pt>
                <c:pt idx="1">
                  <c:v>2872.553911284198</c:v>
                </c:pt>
                <c:pt idx="2">
                  <c:v>2784.0648123635565</c:v>
                </c:pt>
                <c:pt idx="3">
                  <c:v>2749.2930743739112</c:v>
                </c:pt>
                <c:pt idx="4">
                  <c:v>2987.4581126653125</c:v>
                </c:pt>
                <c:pt idx="5">
                  <c:v>2901.0088638522143</c:v>
                </c:pt>
                <c:pt idx="6">
                  <c:v>2982.9360376297204</c:v>
                </c:pt>
                <c:pt idx="7">
                  <c:v>3311.9963753963725</c:v>
                </c:pt>
                <c:pt idx="8">
                  <c:v>3201.4966168304627</c:v>
                </c:pt>
                <c:pt idx="9">
                  <c:v>3151.6402265406441</c:v>
                </c:pt>
                <c:pt idx="10">
                  <c:v>3699.2791976138528</c:v>
                </c:pt>
                <c:pt idx="11">
                  <c:v>3755.8997730443321</c:v>
                </c:pt>
                <c:pt idx="12">
                  <c:v>3267.579686525336</c:v>
                </c:pt>
                <c:pt idx="13">
                  <c:v>2491.4216368361776</c:v>
                </c:pt>
                <c:pt idx="14">
                  <c:v>2663.1856876769994</c:v>
                </c:pt>
                <c:pt idx="15">
                  <c:v>2756.6068960085136</c:v>
                </c:pt>
                <c:pt idx="16">
                  <c:v>2699.3849926174648</c:v>
                </c:pt>
                <c:pt idx="17">
                  <c:v>2756.9996237713999</c:v>
                </c:pt>
                <c:pt idx="18">
                  <c:v>2466.9196776889826</c:v>
                </c:pt>
                <c:pt idx="19">
                  <c:v>1651.6548172225791</c:v>
                </c:pt>
                <c:pt idx="20">
                  <c:v>1457.7811095382394</c:v>
                </c:pt>
                <c:pt idx="21">
                  <c:v>1326.8874492072634</c:v>
                </c:pt>
                <c:pt idx="22">
                  <c:v>1553.2976314794837</c:v>
                </c:pt>
                <c:pt idx="23">
                  <c:v>1469.352797746752</c:v>
                </c:pt>
                <c:pt idx="24">
                  <c:v>1814.5751730041789</c:v>
                </c:pt>
                <c:pt idx="25">
                  <c:v>2001.5452192972532</c:v>
                </c:pt>
                <c:pt idx="26">
                  <c:v>2143.4511900924426</c:v>
                </c:pt>
                <c:pt idx="27">
                  <c:v>2231.087953851672</c:v>
                </c:pt>
                <c:pt idx="28">
                  <c:v>2287.8372177793594</c:v>
                </c:pt>
                <c:pt idx="29">
                  <c:v>2259.5604371079921</c:v>
                </c:pt>
                <c:pt idx="30" formatCode="0.000">
                  <c:v>2102.6252598821225</c:v>
                </c:pt>
                <c:pt idx="31">
                  <c:v>2467.1432155430043</c:v>
                </c:pt>
                <c:pt idx="32">
                  <c:v>2288.5369762829869</c:v>
                </c:pt>
                <c:pt idx="33">
                  <c:v>2147.0263163196878</c:v>
                </c:pt>
                <c:pt idx="34">
                  <c:v>1866.7836147388048</c:v>
                </c:pt>
                <c:pt idx="35">
                  <c:v>1833.5434595782401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CA-4283-912C-28822C3D59D2}"/>
            </c:ext>
          </c:extLst>
        </c:ser>
        <c:ser>
          <c:idx val="7"/>
          <c:order val="7"/>
          <c:tx>
            <c:strRef>
              <c:f>'NEW Summary 1990-2025 GHG'!$A$23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1990-2025 GHG'!$B$1:$AK$1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GHG'!$B$23:$AK$23</c:f>
              <c:numCache>
                <c:formatCode>0.00</c:formatCode>
                <c:ptCount val="36"/>
                <c:pt idx="0">
                  <c:v>35.524187103957608</c:v>
                </c:pt>
                <c:pt idx="1">
                  <c:v>49.661994466251372</c:v>
                </c:pt>
                <c:pt idx="2">
                  <c:v>63.799610544922189</c:v>
                </c:pt>
                <c:pt idx="3">
                  <c:v>96.561008915301926</c:v>
                </c:pt>
                <c:pt idx="4">
                  <c:v>135.26066400240859</c:v>
                </c:pt>
                <c:pt idx="5">
                  <c:v>205.45058843855244</c:v>
                </c:pt>
                <c:pt idx="6">
                  <c:v>299.64319190246647</c:v>
                </c:pt>
                <c:pt idx="7">
                  <c:v>405.87354525393033</c:v>
                </c:pt>
                <c:pt idx="8">
                  <c:v>310.8520087031024</c:v>
                </c:pt>
                <c:pt idx="9">
                  <c:v>488.16084411976902</c:v>
                </c:pt>
                <c:pt idx="10">
                  <c:v>706.98944973303674</c:v>
                </c:pt>
                <c:pt idx="11">
                  <c:v>725.27197897556402</c:v>
                </c:pt>
                <c:pt idx="12">
                  <c:v>724.27530595860844</c:v>
                </c:pt>
                <c:pt idx="13">
                  <c:v>915.61564441666962</c:v>
                </c:pt>
                <c:pt idx="14">
                  <c:v>941.02099530254043</c:v>
                </c:pt>
                <c:pt idx="15">
                  <c:v>1123.7330455373408</c:v>
                </c:pt>
                <c:pt idx="16">
                  <c:v>1105.9131506090259</c:v>
                </c:pt>
                <c:pt idx="17">
                  <c:v>1106.3151200833511</c:v>
                </c:pt>
                <c:pt idx="18">
                  <c:v>1133.5310193940597</c:v>
                </c:pt>
                <c:pt idx="19">
                  <c:v>1101.9758335651327</c:v>
                </c:pt>
                <c:pt idx="20">
                  <c:v>1066.0954511931914</c:v>
                </c:pt>
                <c:pt idx="21">
                  <c:v>1070.8006655506517</c:v>
                </c:pt>
                <c:pt idx="22">
                  <c:v>1043.5836093635819</c:v>
                </c:pt>
                <c:pt idx="23">
                  <c:v>1072.1872664719847</c:v>
                </c:pt>
                <c:pt idx="24">
                  <c:v>1134.3868508431085</c:v>
                </c:pt>
                <c:pt idx="25">
                  <c:v>1130.6423607181532</c:v>
                </c:pt>
                <c:pt idx="26">
                  <c:v>1204.1511795314182</c:v>
                </c:pt>
                <c:pt idx="27">
                  <c:v>1136.8766238833434</c:v>
                </c:pt>
                <c:pt idx="28">
                  <c:v>831.80380701398747</c:v>
                </c:pt>
                <c:pt idx="29">
                  <c:v>808.6767930675195</c:v>
                </c:pt>
                <c:pt idx="30" formatCode="0.000">
                  <c:v>648.2464309277068</c:v>
                </c:pt>
                <c:pt idx="31">
                  <c:v>692.62625692686925</c:v>
                </c:pt>
                <c:pt idx="32">
                  <c:v>658.98618090990965</c:v>
                </c:pt>
                <c:pt idx="33">
                  <c:v>604.65195289734368</c:v>
                </c:pt>
                <c:pt idx="34">
                  <c:v>603.38505613479037</c:v>
                </c:pt>
                <c:pt idx="35">
                  <c:v>636.10671305374433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CA-4283-912C-28822C3D59D2}"/>
            </c:ext>
          </c:extLst>
        </c:ser>
        <c:ser>
          <c:idx val="8"/>
          <c:order val="8"/>
          <c:tx>
            <c:strRef>
              <c:f>'NEW Summary 1990-2025 GHG'!$A$24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1990-2025 GHG'!$B$1:$AK$1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GHG'!$B$24:$AK$24</c:f>
              <c:numCache>
                <c:formatCode>0.00</c:formatCode>
                <c:ptCount val="36"/>
                <c:pt idx="0">
                  <c:v>20570.904991976302</c:v>
                </c:pt>
                <c:pt idx="1">
                  <c:v>20707.377835024476</c:v>
                </c:pt>
                <c:pt idx="2">
                  <c:v>20839.224016985278</c:v>
                </c:pt>
                <c:pt idx="3">
                  <c:v>21084.457489698871</c:v>
                </c:pt>
                <c:pt idx="4">
                  <c:v>21225.841218929974</c:v>
                </c:pt>
                <c:pt idx="5">
                  <c:v>21867.860882532965</c:v>
                </c:pt>
                <c:pt idx="6">
                  <c:v>22075.445413414665</c:v>
                </c:pt>
                <c:pt idx="7">
                  <c:v>22183.480286125068</c:v>
                </c:pt>
                <c:pt idx="8">
                  <c:v>22612.673210015339</c:v>
                </c:pt>
                <c:pt idx="9">
                  <c:v>22266.719047496717</c:v>
                </c:pt>
                <c:pt idx="10">
                  <c:v>21335.008709033813</c:v>
                </c:pt>
                <c:pt idx="11">
                  <c:v>21033.202142485869</c:v>
                </c:pt>
                <c:pt idx="12">
                  <c:v>20706.626835964977</c:v>
                </c:pt>
                <c:pt idx="13">
                  <c:v>20996.159520189023</c:v>
                </c:pt>
                <c:pt idx="14">
                  <c:v>20651.404618255361</c:v>
                </c:pt>
                <c:pt idx="15">
                  <c:v>20183.732962774309</c:v>
                </c:pt>
                <c:pt idx="16">
                  <c:v>19766.098255647201</c:v>
                </c:pt>
                <c:pt idx="17">
                  <c:v>19628.476137904887</c:v>
                </c:pt>
                <c:pt idx="18">
                  <c:v>19260.4113190346</c:v>
                </c:pt>
                <c:pt idx="19">
                  <c:v>18844.471615666589</c:v>
                </c:pt>
                <c:pt idx="20">
                  <c:v>18988.314346678682</c:v>
                </c:pt>
                <c:pt idx="21">
                  <c:v>18557.33832030421</c:v>
                </c:pt>
                <c:pt idx="22">
                  <c:v>18859.233411157347</c:v>
                </c:pt>
                <c:pt idx="23">
                  <c:v>19448.636013942163</c:v>
                </c:pt>
                <c:pt idx="24">
                  <c:v>19526.565007102839</c:v>
                </c:pt>
                <c:pt idx="25">
                  <c:v>19920.550163026874</c:v>
                </c:pt>
                <c:pt idx="26">
                  <c:v>20507.605954074821</c:v>
                </c:pt>
                <c:pt idx="27">
                  <c:v>21126.957903529936</c:v>
                </c:pt>
                <c:pt idx="28">
                  <c:v>21402.383015470303</c:v>
                </c:pt>
                <c:pt idx="29">
                  <c:v>21283.511936701434</c:v>
                </c:pt>
                <c:pt idx="30">
                  <c:v>21588.362732753743</c:v>
                </c:pt>
                <c:pt idx="31">
                  <c:v>21967.614528787839</c:v>
                </c:pt>
                <c:pt idx="32">
                  <c:v>21779.867224278667</c:v>
                </c:pt>
                <c:pt idx="33">
                  <c:v>20719.546534732603</c:v>
                </c:pt>
                <c:pt idx="34">
                  <c:v>20435.676852595858</c:v>
                </c:pt>
                <c:pt idx="35">
                  <c:v>20398.448033618672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CA-4283-912C-28822C3D59D2}"/>
            </c:ext>
          </c:extLst>
        </c:ser>
        <c:ser>
          <c:idx val="9"/>
          <c:order val="9"/>
          <c:tx>
            <c:strRef>
              <c:f>'NEW Summary 1990-2025 GHG'!$A$32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1990-2025 GHG'!$B$1:$AK$1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GHG'!$B$32:$AK$32</c:f>
              <c:numCache>
                <c:formatCode>0.00</c:formatCode>
                <c:ptCount val="36"/>
                <c:pt idx="0">
                  <c:v>1709.2379654880638</c:v>
                </c:pt>
                <c:pt idx="1">
                  <c:v>1799.7259717319207</c:v>
                </c:pt>
                <c:pt idx="2">
                  <c:v>1872.6110167758227</c:v>
                </c:pt>
                <c:pt idx="3">
                  <c:v>1928.635396083811</c:v>
                </c:pt>
                <c:pt idx="4">
                  <c:v>1978.8855789392078</c:v>
                </c:pt>
                <c:pt idx="5">
                  <c:v>2019.7605435458233</c:v>
                </c:pt>
                <c:pt idx="6">
                  <c:v>1884.4315270557624</c:v>
                </c:pt>
                <c:pt idx="7">
                  <c:v>1576.982250910261</c:v>
                </c:pt>
                <c:pt idx="8">
                  <c:v>1626.6006654526207</c:v>
                </c:pt>
                <c:pt idx="9">
                  <c:v>1630.7580838813492</c:v>
                </c:pt>
                <c:pt idx="10">
                  <c:v>1643.2779552875486</c:v>
                </c:pt>
                <c:pt idx="11">
                  <c:v>1766.8598970748044</c:v>
                </c:pt>
                <c:pt idx="12">
                  <c:v>1880.8930105084603</c:v>
                </c:pt>
                <c:pt idx="13">
                  <c:v>1935.8113668287185</c:v>
                </c:pt>
                <c:pt idx="14">
                  <c:v>1656.7174768324844</c:v>
                </c:pt>
                <c:pt idx="15">
                  <c:v>1454.2732283395637</c:v>
                </c:pt>
                <c:pt idx="16">
                  <c:v>1489.0608120747911</c:v>
                </c:pt>
                <c:pt idx="17">
                  <c:v>962.33999441077253</c:v>
                </c:pt>
                <c:pt idx="18">
                  <c:v>800.17858585700117</c:v>
                </c:pt>
                <c:pt idx="19">
                  <c:v>603.78478589667623</c:v>
                </c:pt>
                <c:pt idx="20">
                  <c:v>594.31068292949431</c:v>
                </c:pt>
                <c:pt idx="21">
                  <c:v>688.42779394361185</c:v>
                </c:pt>
                <c:pt idx="22">
                  <c:v>594.26965456386324</c:v>
                </c:pt>
                <c:pt idx="23">
                  <c:v>764.64137999478999</c:v>
                </c:pt>
                <c:pt idx="24">
                  <c:v>949.68601610714018</c:v>
                </c:pt>
                <c:pt idx="25">
                  <c:v>1025.8248980477192</c:v>
                </c:pt>
                <c:pt idx="26">
                  <c:v>1019.2945208107094</c:v>
                </c:pt>
                <c:pt idx="27">
                  <c:v>988.0756943528088</c:v>
                </c:pt>
                <c:pt idx="28">
                  <c:v>943.37653365285883</c:v>
                </c:pt>
                <c:pt idx="29">
                  <c:v>908.39164361748965</c:v>
                </c:pt>
                <c:pt idx="30">
                  <c:v>888.9153915942502</c:v>
                </c:pt>
                <c:pt idx="31">
                  <c:v>833.96672898270162</c:v>
                </c:pt>
                <c:pt idx="32">
                  <c:v>879.58421071363273</c:v>
                </c:pt>
                <c:pt idx="33">
                  <c:v>840.93361055304717</c:v>
                </c:pt>
                <c:pt idx="34">
                  <c:v>822.64954636994128</c:v>
                </c:pt>
                <c:pt idx="35">
                  <c:v>819.53686301069376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4CA-4283-912C-28822C3D59D2}"/>
            </c:ext>
          </c:extLst>
        </c:ser>
        <c:ser>
          <c:idx val="10"/>
          <c:order val="10"/>
          <c:tx>
            <c:strRef>
              <c:f>'NEW Summary 1990-2025 GHG'!$A$37</c:f>
              <c:strCache>
                <c:ptCount val="1"/>
                <c:pt idx="0">
                  <c:v>Land use, land-use change and forestry</c:v>
                </c:pt>
              </c:strCache>
            </c:strRef>
          </c:tx>
          <c:invertIfNegative val="0"/>
          <c:cat>
            <c:numRef>
              <c:f>'NEW Summary 1990-2025 GHG'!$B$1:$AK$1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GHG'!$B$37:$AK$37</c:f>
              <c:numCache>
                <c:formatCode>0.00</c:formatCode>
                <c:ptCount val="36"/>
                <c:pt idx="0">
                  <c:v>6320.8316182726776</c:v>
                </c:pt>
                <c:pt idx="1">
                  <c:v>6028.421930748058</c:v>
                </c:pt>
                <c:pt idx="2">
                  <c:v>5947.1612349745255</c:v>
                </c:pt>
                <c:pt idx="3">
                  <c:v>6125.1984218736761</c:v>
                </c:pt>
                <c:pt idx="4">
                  <c:v>5949.7044813384027</c:v>
                </c:pt>
                <c:pt idx="5">
                  <c:v>6764.2747678662854</c:v>
                </c:pt>
                <c:pt idx="6">
                  <c:v>6790.2579871451571</c:v>
                </c:pt>
                <c:pt idx="7">
                  <c:v>6224.0865785843962</c:v>
                </c:pt>
                <c:pt idx="8">
                  <c:v>6084.2173154737729</c:v>
                </c:pt>
                <c:pt idx="9">
                  <c:v>5614.7695044661432</c:v>
                </c:pt>
                <c:pt idx="10">
                  <c:v>6245.7419885288846</c:v>
                </c:pt>
                <c:pt idx="11">
                  <c:v>8204.3041757843566</c:v>
                </c:pt>
                <c:pt idx="12">
                  <c:v>7554.1541209866045</c:v>
                </c:pt>
                <c:pt idx="13">
                  <c:v>7575.2507147443775</c:v>
                </c:pt>
                <c:pt idx="14">
                  <c:v>6474.5921610659861</c:v>
                </c:pt>
                <c:pt idx="15">
                  <c:v>6207.5285603227949</c:v>
                </c:pt>
                <c:pt idx="16">
                  <c:v>4445.4243029156114</c:v>
                </c:pt>
                <c:pt idx="17">
                  <c:v>4039.9792552595768</c:v>
                </c:pt>
                <c:pt idx="18">
                  <c:v>3163.8690612711189</c:v>
                </c:pt>
                <c:pt idx="19">
                  <c:v>3069.4506269744888</c:v>
                </c:pt>
                <c:pt idx="20">
                  <c:v>4192.2253526605109</c:v>
                </c:pt>
                <c:pt idx="21">
                  <c:v>3465.2226245626648</c:v>
                </c:pt>
                <c:pt idx="22">
                  <c:v>2891.6190110079369</c:v>
                </c:pt>
                <c:pt idx="23">
                  <c:v>3137.1239178490096</c:v>
                </c:pt>
                <c:pt idx="24">
                  <c:v>2954.2631590614201</c:v>
                </c:pt>
                <c:pt idx="25">
                  <c:v>3009.0770354183182</c:v>
                </c:pt>
                <c:pt idx="26">
                  <c:v>2703.1295323831355</c:v>
                </c:pt>
                <c:pt idx="27">
                  <c:v>4004.6936496856097</c:v>
                </c:pt>
                <c:pt idx="28">
                  <c:v>2998.4546591145845</c:v>
                </c:pt>
                <c:pt idx="29">
                  <c:v>2904.7835162397682</c:v>
                </c:pt>
                <c:pt idx="30">
                  <c:v>3218.406846600913</c:v>
                </c:pt>
                <c:pt idx="31">
                  <c:v>2871.937247671563</c:v>
                </c:pt>
                <c:pt idx="32">
                  <c:v>2468.9714694209038</c:v>
                </c:pt>
                <c:pt idx="33">
                  <c:v>2964.9625408213451</c:v>
                </c:pt>
                <c:pt idx="34">
                  <c:v>2514.111231470763</c:v>
                </c:pt>
                <c:pt idx="35">
                  <c:v>2514.111231470763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4CA-4283-912C-28822C3D5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330624"/>
        <c:axId val="216332160"/>
      </c:barChart>
      <c:catAx>
        <c:axId val="2163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6332160"/>
        <c:crosses val="autoZero"/>
        <c:auto val="1"/>
        <c:lblAlgn val="ctr"/>
        <c:lblOffset val="100"/>
        <c:noMultiLvlLbl val="0"/>
      </c:catAx>
      <c:valAx>
        <c:axId val="216332160"/>
        <c:scaling>
          <c:orientation val="minMax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Kilotonnes</a:t>
                </a:r>
                <a:r>
                  <a:rPr lang="en-IE" baseline="0"/>
                  <a:t> CO2eq</a:t>
                </a:r>
                <a:endParaRPr lang="en-IE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21633062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9999995192862936"/>
          <c:h val="4.840735984461756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2025</a:t>
            </a:r>
          </a:p>
        </c:rich>
      </c:tx>
      <c:layout>
        <c:manualLayout>
          <c:xMode val="edge"/>
          <c:yMode val="edge"/>
          <c:x val="0.4529873869932925"/>
          <c:y val="0.352284498527667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427187787424009"/>
          <c:y val="0.10051230446097462"/>
          <c:w val="0.54214000493528047"/>
          <c:h val="0.60817139141652532"/>
        </c:manualLayout>
      </c:layout>
      <c:doughnutChart>
        <c:varyColors val="1"/>
        <c:ser>
          <c:idx val="0"/>
          <c:order val="0"/>
          <c:tx>
            <c:strRef>
              <c:f>'NEW Summary 1990-2025 GHG'!$AK$1</c:f>
              <c:strCache>
                <c:ptCount val="1"/>
                <c:pt idx="0">
                  <c:v>2025</c:v>
                </c:pt>
              </c:strCache>
            </c:strRef>
          </c:tx>
          <c:dLbls>
            <c:dLbl>
              <c:idx val="0"/>
              <c:layout>
                <c:manualLayout>
                  <c:x val="9.1923531248936916E-2"/>
                  <c:y val="-0.1098702126381226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EB-4CBA-91C7-EA89CC21A5E1}"/>
                </c:ext>
              </c:extLst>
            </c:dLbl>
            <c:dLbl>
              <c:idx val="1"/>
              <c:layout>
                <c:manualLayout>
                  <c:x val="0.11974107905801203"/>
                  <c:y val="-2.803267348627813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EB-4CBA-91C7-EA89CC21A5E1}"/>
                </c:ext>
              </c:extLst>
            </c:dLbl>
            <c:dLbl>
              <c:idx val="2"/>
              <c:layout>
                <c:manualLayout>
                  <c:x val="0.17759088439959966"/>
                  <c:y val="1.392243837546072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EB-4CBA-91C7-EA89CC21A5E1}"/>
                </c:ext>
              </c:extLst>
            </c:dLbl>
            <c:dLbl>
              <c:idx val="3"/>
              <c:layout>
                <c:manualLayout>
                  <c:x val="0.14264964784195613"/>
                  <c:y val="6.389005366205206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EB-4CBA-91C7-EA89CC21A5E1}"/>
                </c:ext>
              </c:extLst>
            </c:dLbl>
            <c:dLbl>
              <c:idx val="4"/>
              <c:layout>
                <c:manualLayout>
                  <c:x val="0.10443318170901519"/>
                  <c:y val="0.1120028222986759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EB-4CBA-91C7-EA89CC21A5E1}"/>
                </c:ext>
              </c:extLst>
            </c:dLbl>
            <c:dLbl>
              <c:idx val="5"/>
              <c:layout>
                <c:manualLayout>
                  <c:x val="1.3835332486051285E-2"/>
                  <c:y val="0.1178526748766658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EB-4CBA-91C7-EA89CC21A5E1}"/>
                </c:ext>
              </c:extLst>
            </c:dLbl>
            <c:dLbl>
              <c:idx val="6"/>
              <c:layout>
                <c:manualLayout>
                  <c:x val="-8.8361622452355848E-2"/>
                  <c:y val="0.1238601257200054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EB-4CBA-91C7-EA89CC21A5E1}"/>
                </c:ext>
              </c:extLst>
            </c:dLbl>
            <c:dLbl>
              <c:idx val="7"/>
              <c:layout>
                <c:manualLayout>
                  <c:x val="-0.14770441452501182"/>
                  <c:y val="7.384752729579943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01408735251159"/>
                      <c:h val="5.47515562435494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1EB-4CBA-91C7-EA89CC21A5E1}"/>
                </c:ext>
              </c:extLst>
            </c:dLbl>
            <c:dLbl>
              <c:idx val="8"/>
              <c:layout>
                <c:manualLayout>
                  <c:x val="-0.12166653266828908"/>
                  <c:y val="-4.795501308757654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EB-4CBA-91C7-EA89CC21A5E1}"/>
                </c:ext>
              </c:extLst>
            </c:dLbl>
            <c:dLbl>
              <c:idx val="9"/>
              <c:layout>
                <c:manualLayout>
                  <c:x val="-0.17394561101201664"/>
                  <c:y val="-0.10405480518998456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EB-4CBA-91C7-EA89CC21A5E1}"/>
                </c:ext>
              </c:extLst>
            </c:dLbl>
            <c:dLbl>
              <c:idx val="10"/>
              <c:layout>
                <c:manualLayout>
                  <c:x val="-2.397184932146218E-2"/>
                  <c:y val="-0.1271934391307370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EB-4CBA-91C7-EA89CC21A5E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1990-2025 GHG'!$A$2,'NEW Summary 1990-2025 GHG'!$A$7,'NEW Summary 1990-2025 GHG'!$A$8,'NEW Summary 1990-2025 GHG'!$A$9,'NEW Summary 1990-2025 GHG'!$A$10,'NEW Summary 1990-2025 GHG'!$A$11,'NEW Summary 1990-2025 GHG'!$A$17,'NEW Summary 1990-2025 GHG'!$A$23,'NEW Summary 1990-2025 GHG'!$A$24,'NEW Summary 1990-2025 GHG'!$A$32,'NEW Summary 1990-2025 GHG'!$A$37)</c:f>
              <c:strCache>
                <c:ptCount val="11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  <c:pt idx="10">
                  <c:v>Land use, land-use change and forestry</c:v>
                </c:pt>
              </c:strCache>
            </c:strRef>
          </c:cat>
          <c:val>
            <c:numRef>
              <c:f>('NEW Summary 1990-2025 GHG'!$AK$2,'NEW Summary 1990-2025 GHG'!$AK$7,'NEW Summary 1990-2025 GHG'!$AK$8,'NEW Summary 1990-2025 GHG'!$AK$9,'NEW Summary 1990-2025 GHG'!$AK$10,'NEW Summary 1990-2025 GHG'!$AK$11,'NEW Summary 1990-2025 GHG'!$AK$17,'NEW Summary 1990-2025 GHG'!$AK$23,'NEW Summary 1990-2025 GHG'!$AK$24,'NEW Summary 1990-2025 GHG'!$AK$32,'NEW Summary 1990-2025 GHG'!$AK$37)</c:f>
              <c:numCache>
                <c:formatCode>0.00</c:formatCode>
                <c:ptCount val="11"/>
                <c:pt idx="0">
                  <c:v>6589.555920844462</c:v>
                </c:pt>
                <c:pt idx="1">
                  <c:v>5211.7931715401201</c:v>
                </c:pt>
                <c:pt idx="2">
                  <c:v>4161.5709865235713</c:v>
                </c:pt>
                <c:pt idx="3">
                  <c:v>712.11390858710001</c:v>
                </c:pt>
                <c:pt idx="4">
                  <c:v>679.39990741638189</c:v>
                </c:pt>
                <c:pt idx="5">
                  <c:v>11607.603864902778</c:v>
                </c:pt>
                <c:pt idx="6">
                  <c:v>1833.5434595782401</c:v>
                </c:pt>
                <c:pt idx="7">
                  <c:v>636.10671305374433</c:v>
                </c:pt>
                <c:pt idx="8">
                  <c:v>20398.448033618672</c:v>
                </c:pt>
                <c:pt idx="9">
                  <c:v>819.53686301069376</c:v>
                </c:pt>
                <c:pt idx="10">
                  <c:v>2514.111231470763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1EB-4CBA-91C7-EA89CC21A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1.3658806106461941E-2"/>
          <c:y val="0.82452109473228585"/>
          <c:w val="0.98367591380301056"/>
          <c:h val="0.16082729966854031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1990</a:t>
            </a:r>
          </a:p>
        </c:rich>
      </c:tx>
      <c:layout>
        <c:manualLayout>
          <c:xMode val="edge"/>
          <c:yMode val="edge"/>
          <c:x val="0.4529873869932925"/>
          <c:y val="0.352284498527667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427187787424009"/>
          <c:y val="0.10051230446097462"/>
          <c:w val="0.54214000493528047"/>
          <c:h val="0.60817139141652532"/>
        </c:manualLayout>
      </c:layout>
      <c:doughnutChart>
        <c:varyColors val="1"/>
        <c:ser>
          <c:idx val="0"/>
          <c:order val="0"/>
          <c:tx>
            <c:strRef>
              <c:f>'NEW Summary 1990-2025 GHG'!$B$1</c:f>
              <c:strCache>
                <c:ptCount val="1"/>
                <c:pt idx="0">
                  <c:v>1990</c:v>
                </c:pt>
              </c:strCache>
            </c:strRef>
          </c:tx>
          <c:explosion val="1"/>
          <c:dLbls>
            <c:dLbl>
              <c:idx val="0"/>
              <c:layout>
                <c:manualLayout>
                  <c:x val="9.1923531248936916E-2"/>
                  <c:y val="-0.1098702126381226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98-4BAD-99E5-BCC3E6975852}"/>
                </c:ext>
              </c:extLst>
            </c:dLbl>
            <c:dLbl>
              <c:idx val="1"/>
              <c:layout>
                <c:manualLayout>
                  <c:x val="0.11974107905801203"/>
                  <c:y val="-2.803267348627813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98-4BAD-99E5-BCC3E6975852}"/>
                </c:ext>
              </c:extLst>
            </c:dLbl>
            <c:dLbl>
              <c:idx val="2"/>
              <c:layout>
                <c:manualLayout>
                  <c:x val="0.17759088439959966"/>
                  <c:y val="1.392243837546072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98-4BAD-99E5-BCC3E6975852}"/>
                </c:ext>
              </c:extLst>
            </c:dLbl>
            <c:dLbl>
              <c:idx val="3"/>
              <c:layout>
                <c:manualLayout>
                  <c:x val="0.14264964784195613"/>
                  <c:y val="6.389005366205206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98-4BAD-99E5-BCC3E6975852}"/>
                </c:ext>
              </c:extLst>
            </c:dLbl>
            <c:dLbl>
              <c:idx val="4"/>
              <c:layout>
                <c:manualLayout>
                  <c:x val="0.10443318170901519"/>
                  <c:y val="0.1120028222986759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98-4BAD-99E5-BCC3E6975852}"/>
                </c:ext>
              </c:extLst>
            </c:dLbl>
            <c:dLbl>
              <c:idx val="5"/>
              <c:layout>
                <c:manualLayout>
                  <c:x val="1.3835332486051285E-2"/>
                  <c:y val="0.1178526748766658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98-4BAD-99E5-BCC3E6975852}"/>
                </c:ext>
              </c:extLst>
            </c:dLbl>
            <c:dLbl>
              <c:idx val="6"/>
              <c:layout>
                <c:manualLayout>
                  <c:x val="-8.8361622452355848E-2"/>
                  <c:y val="0.1238601257200054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98-4BAD-99E5-BCC3E6975852}"/>
                </c:ext>
              </c:extLst>
            </c:dLbl>
            <c:dLbl>
              <c:idx val="7"/>
              <c:layout>
                <c:manualLayout>
                  <c:x val="-0.14770441452501182"/>
                  <c:y val="7.384752729579943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01408735251159"/>
                      <c:h val="5.47515562435494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598-4BAD-99E5-BCC3E6975852}"/>
                </c:ext>
              </c:extLst>
            </c:dLbl>
            <c:dLbl>
              <c:idx val="8"/>
              <c:layout>
                <c:manualLayout>
                  <c:x val="-0.12166653266828908"/>
                  <c:y val="-4.795501308757654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98-4BAD-99E5-BCC3E6975852}"/>
                </c:ext>
              </c:extLst>
            </c:dLbl>
            <c:dLbl>
              <c:idx val="9"/>
              <c:layout>
                <c:manualLayout>
                  <c:x val="-9.7047175862116017E-2"/>
                  <c:y val="-0.1240297773779943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98-4BAD-99E5-BCC3E6975852}"/>
                </c:ext>
              </c:extLst>
            </c:dLbl>
            <c:dLbl>
              <c:idx val="10"/>
              <c:layout>
                <c:manualLayout>
                  <c:x val="-1.2757494947863974E-2"/>
                  <c:y val="-0.1291909420947483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98-4BAD-99E5-BCC3E697585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1990-2025 GHG'!$A$2,'NEW Summary 1990-2025 GHG'!$A$7,'NEW Summary 1990-2025 GHG'!$A$8,'NEW Summary 1990-2025 GHG'!$A$9,'NEW Summary 1990-2025 GHG'!$A$10,'NEW Summary 1990-2025 GHG'!$A$11,'NEW Summary 1990-2025 GHG'!$A$17,'NEW Summary 1990-2025 GHG'!$A$23,'NEW Summary 1990-2025 GHG'!$A$24,'NEW Summary 1990-2025 GHG'!$A$32,'NEW Summary 1990-2025 GHG'!$A$37)</c:f>
              <c:strCache>
                <c:ptCount val="11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  <c:pt idx="10">
                  <c:v>Land use, land-use change and forestry</c:v>
                </c:pt>
              </c:strCache>
            </c:strRef>
          </c:cat>
          <c:val>
            <c:numRef>
              <c:f>('NEW Summary 1990-2025 GHG'!$B$2,'NEW Summary 1990-2025 GHG'!$B$7,'NEW Summary 1990-2025 GHG'!$B$8,'NEW Summary 1990-2025 GHG'!$B$9,'NEW Summary 1990-2025 GHG'!$B$10,'NEW Summary 1990-2025 GHG'!$B$11,'NEW Summary 1990-2025 GHG'!$B$17,'NEW Summary 1990-2025 GHG'!$B$23,'NEW Summary 1990-2025 GHG'!$B$24,'NEW Summary 1990-2025 GHG'!$B$32,'NEW Summary 1990-2025 GHG'!$B$37)</c:f>
              <c:numCache>
                <c:formatCode>0.00</c:formatCode>
                <c:ptCount val="11"/>
                <c:pt idx="0">
                  <c:v>11315.301005472866</c:v>
                </c:pt>
                <c:pt idx="1">
                  <c:v>7569.7124798227551</c:v>
                </c:pt>
                <c:pt idx="2">
                  <c:v>4093.5373960846191</c:v>
                </c:pt>
                <c:pt idx="3">
                  <c:v>1009.6756971444248</c:v>
                </c:pt>
                <c:pt idx="4">
                  <c:v>1123.0310909969073</c:v>
                </c:pt>
                <c:pt idx="5">
                  <c:v>5143.2200176793176</c:v>
                </c:pt>
                <c:pt idx="6">
                  <c:v>3161.559738976744</c:v>
                </c:pt>
                <c:pt idx="7">
                  <c:v>35.524187103957608</c:v>
                </c:pt>
                <c:pt idx="8">
                  <c:v>20570.904991976302</c:v>
                </c:pt>
                <c:pt idx="9">
                  <c:v>1709.2379654880638</c:v>
                </c:pt>
                <c:pt idx="10">
                  <c:v>6320.8316182726776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598-4BAD-99E5-BCC3E6975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1.3658806106461941E-2"/>
          <c:y val="0.82452109473228585"/>
          <c:w val="0.98367591380301056"/>
          <c:h val="0.16082729966854031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1990-2025 CO2'!$A$2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1990-2025 CO2'!$B$1:$AK$1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CO2'!$B$2:$AK$2</c:f>
              <c:numCache>
                <c:formatCode>0.00</c:formatCode>
                <c:ptCount val="36"/>
                <c:pt idx="0">
                  <c:v>11145.011029805726</c:v>
                </c:pt>
                <c:pt idx="1">
                  <c:v>11604.440029894082</c:v>
                </c:pt>
                <c:pt idx="2">
                  <c:v>12263.692158654012</c:v>
                </c:pt>
                <c:pt idx="3">
                  <c:v>12282.240390803796</c:v>
                </c:pt>
                <c:pt idx="4">
                  <c:v>12618.228688682681</c:v>
                </c:pt>
                <c:pt idx="5">
                  <c:v>13301.423088226002</c:v>
                </c:pt>
                <c:pt idx="6">
                  <c:v>14016.860234679363</c:v>
                </c:pt>
                <c:pt idx="7">
                  <c:v>14674.037600115458</c:v>
                </c:pt>
                <c:pt idx="8">
                  <c:v>15057.155337311062</c:v>
                </c:pt>
                <c:pt idx="9">
                  <c:v>15751.36904223563</c:v>
                </c:pt>
                <c:pt idx="10">
                  <c:v>16028.412117111155</c:v>
                </c:pt>
                <c:pt idx="11">
                  <c:v>17295.062684731107</c:v>
                </c:pt>
                <c:pt idx="12">
                  <c:v>16314.652685628396</c:v>
                </c:pt>
                <c:pt idx="13">
                  <c:v>15611.001856173074</c:v>
                </c:pt>
                <c:pt idx="14">
                  <c:v>15234.560260451177</c:v>
                </c:pt>
                <c:pt idx="15">
                  <c:v>15718.55852912308</c:v>
                </c:pt>
                <c:pt idx="16">
                  <c:v>14958.719401812081</c:v>
                </c:pt>
                <c:pt idx="17">
                  <c:v>14458.258069466494</c:v>
                </c:pt>
                <c:pt idx="18">
                  <c:v>14555.129184062591</c:v>
                </c:pt>
                <c:pt idx="19">
                  <c:v>12972.037027590201</c:v>
                </c:pt>
                <c:pt idx="20">
                  <c:v>13227.94670171753</c:v>
                </c:pt>
                <c:pt idx="21">
                  <c:v>11844.519983734399</c:v>
                </c:pt>
                <c:pt idx="22">
                  <c:v>12683.367289445267</c:v>
                </c:pt>
                <c:pt idx="23">
                  <c:v>11331.519840127901</c:v>
                </c:pt>
                <c:pt idx="24">
                  <c:v>11126.449928995806</c:v>
                </c:pt>
                <c:pt idx="25">
                  <c:v>11737.910438619858</c:v>
                </c:pt>
                <c:pt idx="26">
                  <c:v>12443.942596395935</c:v>
                </c:pt>
                <c:pt idx="27">
                  <c:v>11629.260433508724</c:v>
                </c:pt>
                <c:pt idx="28">
                  <c:v>10296.714731072618</c:v>
                </c:pt>
                <c:pt idx="29">
                  <c:v>9055.4715260838748</c:v>
                </c:pt>
                <c:pt idx="30">
                  <c:v>8422.8064131867395</c:v>
                </c:pt>
                <c:pt idx="31">
                  <c:v>9972.1706734861818</c:v>
                </c:pt>
                <c:pt idx="32">
                  <c:v>9782.0038699877332</c:v>
                </c:pt>
                <c:pt idx="33">
                  <c:v>7651.1660899651106</c:v>
                </c:pt>
                <c:pt idx="34">
                  <c:v>6954.3321919848277</c:v>
                </c:pt>
                <c:pt idx="35">
                  <c:v>6454.8402272943158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7-4878-B6A1-FD2839D7D034}"/>
            </c:ext>
          </c:extLst>
        </c:ser>
        <c:ser>
          <c:idx val="1"/>
          <c:order val="1"/>
          <c:tx>
            <c:strRef>
              <c:f>'NEW Summary 1990-2025 CO2'!$A$7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1990-2025 CO2'!$B$1:$AK$1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CO2'!$B$7:$AK$7</c:f>
              <c:numCache>
                <c:formatCode>0.00</c:formatCode>
                <c:ptCount val="36"/>
                <c:pt idx="0">
                  <c:v>7048.0605646195017</c:v>
                </c:pt>
                <c:pt idx="1">
                  <c:v>6965.1569907027688</c:v>
                </c:pt>
                <c:pt idx="2">
                  <c:v>6245.232128657115</c:v>
                </c:pt>
                <c:pt idx="3">
                  <c:v>6254.9134122062496</c:v>
                </c:pt>
                <c:pt idx="4">
                  <c:v>6206.6314921948751</c:v>
                </c:pt>
                <c:pt idx="5">
                  <c:v>6069.6705525670332</c:v>
                </c:pt>
                <c:pt idx="6">
                  <c:v>6429.8696062037052</c:v>
                </c:pt>
                <c:pt idx="7">
                  <c:v>6219.7110553112561</c:v>
                </c:pt>
                <c:pt idx="8">
                  <c:v>6780.0567315760882</c:v>
                </c:pt>
                <c:pt idx="9">
                  <c:v>6596.409419914291</c:v>
                </c:pt>
                <c:pt idx="10">
                  <c:v>6699.5934626105263</c:v>
                </c:pt>
                <c:pt idx="11">
                  <c:v>7065.8322682894195</c:v>
                </c:pt>
                <c:pt idx="12">
                  <c:v>7085.5879953696312</c:v>
                </c:pt>
                <c:pt idx="13">
                  <c:v>7336.2211317732608</c:v>
                </c:pt>
                <c:pt idx="14">
                  <c:v>7507.5707904859337</c:v>
                </c:pt>
                <c:pt idx="15">
                  <c:v>7937.022463126139</c:v>
                </c:pt>
                <c:pt idx="16">
                  <c:v>7821.9649095093373</c:v>
                </c:pt>
                <c:pt idx="17">
                  <c:v>7667.1205566312346</c:v>
                </c:pt>
                <c:pt idx="18">
                  <c:v>8439.8942344728166</c:v>
                </c:pt>
                <c:pt idx="19">
                  <c:v>8304.4244385199454</c:v>
                </c:pt>
                <c:pt idx="20">
                  <c:v>8627.963458429198</c:v>
                </c:pt>
                <c:pt idx="21">
                  <c:v>7423.3528249546753</c:v>
                </c:pt>
                <c:pt idx="22">
                  <c:v>6942.7935137176</c:v>
                </c:pt>
                <c:pt idx="23">
                  <c:v>6725.9533048823951</c:v>
                </c:pt>
                <c:pt idx="24">
                  <c:v>6053.3623141480848</c:v>
                </c:pt>
                <c:pt idx="25">
                  <c:v>6439.6838253111928</c:v>
                </c:pt>
                <c:pt idx="26">
                  <c:v>6683.550629855652</c:v>
                </c:pt>
                <c:pt idx="27">
                  <c:v>6155.1313975069033</c:v>
                </c:pt>
                <c:pt idx="28">
                  <c:v>6634.1703485530616</c:v>
                </c:pt>
                <c:pt idx="29">
                  <c:v>6374.8155637284544</c:v>
                </c:pt>
                <c:pt idx="30">
                  <c:v>7010.9522317334413</c:v>
                </c:pt>
                <c:pt idx="31">
                  <c:v>6537.1072446500384</c:v>
                </c:pt>
                <c:pt idx="32">
                  <c:v>5484.8634320456549</c:v>
                </c:pt>
                <c:pt idx="33">
                  <c:v>5111.0993966418082</c:v>
                </c:pt>
                <c:pt idx="34">
                  <c:v>5366.1444781411947</c:v>
                </c:pt>
                <c:pt idx="35">
                  <c:v>5096.9489617333993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57-4878-B6A1-FD2839D7D034}"/>
            </c:ext>
          </c:extLst>
        </c:ser>
        <c:ser>
          <c:idx val="2"/>
          <c:order val="2"/>
          <c:tx>
            <c:strRef>
              <c:f>'NEW Summary 1990-2025 CO2'!$A$8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1990-2025 CO2'!$B$1:$AK$1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CO2'!$B$8:$AK$8</c:f>
              <c:numCache>
                <c:formatCode>0.00</c:formatCode>
                <c:ptCount val="36"/>
                <c:pt idx="0">
                  <c:v>4057.7635904741737</c:v>
                </c:pt>
                <c:pt idx="1">
                  <c:v>4344.710714420833</c:v>
                </c:pt>
                <c:pt idx="2">
                  <c:v>4025.5601094124854</c:v>
                </c:pt>
                <c:pt idx="3">
                  <c:v>4231.8615702155676</c:v>
                </c:pt>
                <c:pt idx="4">
                  <c:v>4497.6301593672633</c:v>
                </c:pt>
                <c:pt idx="5">
                  <c:v>4519.4529681669628</c:v>
                </c:pt>
                <c:pt idx="6">
                  <c:v>4362.9992173704404</c:v>
                </c:pt>
                <c:pt idx="7">
                  <c:v>4712.0721779029009</c:v>
                </c:pt>
                <c:pt idx="8">
                  <c:v>4690.2392471872463</c:v>
                </c:pt>
                <c:pt idx="9">
                  <c:v>4870.6401448610359</c:v>
                </c:pt>
                <c:pt idx="10">
                  <c:v>5650.3597857771974</c:v>
                </c:pt>
                <c:pt idx="11">
                  <c:v>5619.339144569316</c:v>
                </c:pt>
                <c:pt idx="12">
                  <c:v>5287.4423718728494</c:v>
                </c:pt>
                <c:pt idx="13">
                  <c:v>5401.734390828502</c:v>
                </c:pt>
                <c:pt idx="14">
                  <c:v>5462.1180744396888</c:v>
                </c:pt>
                <c:pt idx="15">
                  <c:v>5580.8068516070853</c:v>
                </c:pt>
                <c:pt idx="16">
                  <c:v>5379.7717825545069</c:v>
                </c:pt>
                <c:pt idx="17">
                  <c:v>5456.7915964875074</c:v>
                </c:pt>
                <c:pt idx="18">
                  <c:v>5298.6196201244011</c:v>
                </c:pt>
                <c:pt idx="19">
                  <c:v>4267.798443708165</c:v>
                </c:pt>
                <c:pt idx="20">
                  <c:v>4220.7480914264097</c:v>
                </c:pt>
                <c:pt idx="21">
                  <c:v>3798.9810757666914</c:v>
                </c:pt>
                <c:pt idx="22">
                  <c:v>3879.5308057114039</c:v>
                </c:pt>
                <c:pt idx="23">
                  <c:v>4098.3807367656855</c:v>
                </c:pt>
                <c:pt idx="24">
                  <c:v>4162.223680378369</c:v>
                </c:pt>
                <c:pt idx="25">
                  <c:v>4272.970009329083</c:v>
                </c:pt>
                <c:pt idx="26">
                  <c:v>4356.1095440425288</c:v>
                </c:pt>
                <c:pt idx="27">
                  <c:v>4574.2511135707864</c:v>
                </c:pt>
                <c:pt idx="28">
                  <c:v>4775.0494367307301</c:v>
                </c:pt>
                <c:pt idx="29">
                  <c:v>4700.7380942632253</c:v>
                </c:pt>
                <c:pt idx="30">
                  <c:v>4738.366957906951</c:v>
                </c:pt>
                <c:pt idx="31">
                  <c:v>4729.4253574625982</c:v>
                </c:pt>
                <c:pt idx="32">
                  <c:v>4472.6263059426165</c:v>
                </c:pt>
                <c:pt idx="33">
                  <c:v>4263.627277143647</c:v>
                </c:pt>
                <c:pt idx="34">
                  <c:v>4271.1326582294278</c:v>
                </c:pt>
                <c:pt idx="35">
                  <c:v>4100.417091337993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57-4878-B6A1-FD2839D7D034}"/>
            </c:ext>
          </c:extLst>
        </c:ser>
        <c:ser>
          <c:idx val="3"/>
          <c:order val="3"/>
          <c:tx>
            <c:strRef>
              <c:f>'NEW Summary 1990-2025 CO2'!$A$9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1990-2025 CO2'!$B$1:$AK$1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CO2'!$B$9:$AK$9</c:f>
              <c:numCache>
                <c:formatCode>0.00</c:formatCode>
                <c:ptCount val="36"/>
                <c:pt idx="0">
                  <c:v>1004.0345660655863</c:v>
                </c:pt>
                <c:pt idx="1">
                  <c:v>1022.4730075314403</c:v>
                </c:pt>
                <c:pt idx="2">
                  <c:v>1016.8912812861598</c:v>
                </c:pt>
                <c:pt idx="3">
                  <c:v>1004.7612405969569</c:v>
                </c:pt>
                <c:pt idx="4">
                  <c:v>1095.784233573228</c:v>
                </c:pt>
                <c:pt idx="5">
                  <c:v>1074.6657726814128</c:v>
                </c:pt>
                <c:pt idx="6">
                  <c:v>970.86516701832898</c:v>
                </c:pt>
                <c:pt idx="7">
                  <c:v>979.03152859913837</c:v>
                </c:pt>
                <c:pt idx="8">
                  <c:v>965.99915436791196</c:v>
                </c:pt>
                <c:pt idx="9">
                  <c:v>999.27852504875932</c:v>
                </c:pt>
                <c:pt idx="10">
                  <c:v>1025.2416387849557</c:v>
                </c:pt>
                <c:pt idx="11">
                  <c:v>1015.7350780717875</c:v>
                </c:pt>
                <c:pt idx="12">
                  <c:v>982.24312974594613</c:v>
                </c:pt>
                <c:pt idx="13">
                  <c:v>1079.7781315354346</c:v>
                </c:pt>
                <c:pt idx="14">
                  <c:v>1047.9565049679213</c:v>
                </c:pt>
                <c:pt idx="15">
                  <c:v>1081.2656197799238</c:v>
                </c:pt>
                <c:pt idx="16">
                  <c:v>1075.3649470496732</c:v>
                </c:pt>
                <c:pt idx="17">
                  <c:v>1072.0222370165916</c:v>
                </c:pt>
                <c:pt idx="18">
                  <c:v>1117.348026061281</c:v>
                </c:pt>
                <c:pt idx="19">
                  <c:v>884.82840412300868</c:v>
                </c:pt>
                <c:pt idx="20">
                  <c:v>975.44193869735773</c:v>
                </c:pt>
                <c:pt idx="21">
                  <c:v>891.7232737497236</c:v>
                </c:pt>
                <c:pt idx="22">
                  <c:v>923.61560878632145</c:v>
                </c:pt>
                <c:pt idx="23">
                  <c:v>922.5115961253814</c:v>
                </c:pt>
                <c:pt idx="24">
                  <c:v>854.86782007393106</c:v>
                </c:pt>
                <c:pt idx="25">
                  <c:v>919.00313595420266</c:v>
                </c:pt>
                <c:pt idx="26">
                  <c:v>849.62017173238746</c:v>
                </c:pt>
                <c:pt idx="27">
                  <c:v>779.56213950831443</c:v>
                </c:pt>
                <c:pt idx="28">
                  <c:v>847.22306329463026</c:v>
                </c:pt>
                <c:pt idx="29">
                  <c:v>799.80838158039728</c:v>
                </c:pt>
                <c:pt idx="30">
                  <c:v>657.76492480983893</c:v>
                </c:pt>
                <c:pt idx="31">
                  <c:v>712.74522560722403</c:v>
                </c:pt>
                <c:pt idx="32">
                  <c:v>684.64669808248311</c:v>
                </c:pt>
                <c:pt idx="33">
                  <c:v>682.39229632866682</c:v>
                </c:pt>
                <c:pt idx="34">
                  <c:v>735.85327239182857</c:v>
                </c:pt>
                <c:pt idx="35">
                  <c:v>705.25620066016518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57-4878-B6A1-FD2839D7D034}"/>
            </c:ext>
          </c:extLst>
        </c:ser>
        <c:ser>
          <c:idx val="4"/>
          <c:order val="4"/>
          <c:tx>
            <c:strRef>
              <c:f>'NEW Summary 1990-2025 CO2'!$A$10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1990-2025 CO2'!$B$1:$AK$1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CO2'!$B$10:$AK$10</c:f>
              <c:numCache>
                <c:formatCode>0.00</c:formatCode>
                <c:ptCount val="36"/>
                <c:pt idx="0">
                  <c:v>1116.7561679407922</c:v>
                </c:pt>
                <c:pt idx="1">
                  <c:v>1089.7846383182937</c:v>
                </c:pt>
                <c:pt idx="2">
                  <c:v>995.30560132089761</c:v>
                </c:pt>
                <c:pt idx="3">
                  <c:v>967.74651417404016</c:v>
                </c:pt>
                <c:pt idx="4">
                  <c:v>973.06263171013575</c:v>
                </c:pt>
                <c:pt idx="5">
                  <c:v>903.24915789594706</c:v>
                </c:pt>
                <c:pt idx="6">
                  <c:v>864.23795434102385</c:v>
                </c:pt>
                <c:pt idx="7">
                  <c:v>817.08383293579175</c:v>
                </c:pt>
                <c:pt idx="8">
                  <c:v>766.96086275179744</c:v>
                </c:pt>
                <c:pt idx="9">
                  <c:v>792.84435841791571</c:v>
                </c:pt>
                <c:pt idx="10">
                  <c:v>838.70398973153033</c:v>
                </c:pt>
                <c:pt idx="11">
                  <c:v>805.68104619622852</c:v>
                </c:pt>
                <c:pt idx="12">
                  <c:v>747.91325985954791</c:v>
                </c:pt>
                <c:pt idx="13">
                  <c:v>706.46798872334284</c:v>
                </c:pt>
                <c:pt idx="14">
                  <c:v>657.12294052730761</c:v>
                </c:pt>
                <c:pt idx="15">
                  <c:v>649.55184827781568</c:v>
                </c:pt>
                <c:pt idx="16">
                  <c:v>625.69266731982589</c:v>
                </c:pt>
                <c:pt idx="17">
                  <c:v>589.26272910176306</c:v>
                </c:pt>
                <c:pt idx="18">
                  <c:v>588.52634211414806</c:v>
                </c:pt>
                <c:pt idx="19">
                  <c:v>490.01263071240089</c:v>
                </c:pt>
                <c:pt idx="20">
                  <c:v>516.20902382302165</c:v>
                </c:pt>
                <c:pt idx="21">
                  <c:v>466.31812967025064</c:v>
                </c:pt>
                <c:pt idx="22">
                  <c:v>500.31804051265237</c:v>
                </c:pt>
                <c:pt idx="23">
                  <c:v>567.88905926315113</c:v>
                </c:pt>
                <c:pt idx="24">
                  <c:v>573.25936200103206</c:v>
                </c:pt>
                <c:pt idx="25">
                  <c:v>599.28112131281569</c:v>
                </c:pt>
                <c:pt idx="26">
                  <c:v>619.37365622922266</c:v>
                </c:pt>
                <c:pt idx="27">
                  <c:v>625.3117785381196</c:v>
                </c:pt>
                <c:pt idx="28">
                  <c:v>671.1605385118055</c:v>
                </c:pt>
                <c:pt idx="29">
                  <c:v>698.19060151295184</c:v>
                </c:pt>
                <c:pt idx="30">
                  <c:v>656.8326362913599</c:v>
                </c:pt>
                <c:pt idx="31">
                  <c:v>690.5428278421374</c:v>
                </c:pt>
                <c:pt idx="32">
                  <c:v>682.26238023342148</c:v>
                </c:pt>
                <c:pt idx="33">
                  <c:v>641.93174355405995</c:v>
                </c:pt>
                <c:pt idx="34">
                  <c:v>692.35211421065719</c:v>
                </c:pt>
                <c:pt idx="35">
                  <c:v>671.45474301177205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57-4878-B6A1-FD2839D7D034}"/>
            </c:ext>
          </c:extLst>
        </c:ser>
        <c:ser>
          <c:idx val="5"/>
          <c:order val="5"/>
          <c:tx>
            <c:strRef>
              <c:f>'NEW Summary 1990-2025 CO2'!$A$11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1990-2025 CO2'!$B$1:$AK$1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CO2'!$B$11:$AK$11</c:f>
              <c:numCache>
                <c:formatCode>0.00</c:formatCode>
                <c:ptCount val="36"/>
                <c:pt idx="0">
                  <c:v>5029.64547279402</c:v>
                </c:pt>
                <c:pt idx="1">
                  <c:v>5207.4819043399657</c:v>
                </c:pt>
                <c:pt idx="2">
                  <c:v>5621.8425752901958</c:v>
                </c:pt>
                <c:pt idx="3">
                  <c:v>5583.6226838487719</c:v>
                </c:pt>
                <c:pt idx="4">
                  <c:v>5805.7536417812353</c:v>
                </c:pt>
                <c:pt idx="5">
                  <c:v>6058.8843520471009</c:v>
                </c:pt>
                <c:pt idx="6">
                  <c:v>7027.3116505872458</c:v>
                </c:pt>
                <c:pt idx="7">
                  <c:v>7347.9365869190924</c:v>
                </c:pt>
                <c:pt idx="8">
                  <c:v>8620.6555514369302</c:v>
                </c:pt>
                <c:pt idx="9">
                  <c:v>9533.5227463094689</c:v>
                </c:pt>
                <c:pt idx="10">
                  <c:v>10561.828947009131</c:v>
                </c:pt>
                <c:pt idx="11">
                  <c:v>11079.048090475506</c:v>
                </c:pt>
                <c:pt idx="12">
                  <c:v>11279.143808479441</c:v>
                </c:pt>
                <c:pt idx="13">
                  <c:v>11489.078932730052</c:v>
                </c:pt>
                <c:pt idx="14">
                  <c:v>12209.430731448574</c:v>
                </c:pt>
                <c:pt idx="15">
                  <c:v>12922.310792723818</c:v>
                </c:pt>
                <c:pt idx="16">
                  <c:v>13606.344685880453</c:v>
                </c:pt>
                <c:pt idx="17">
                  <c:v>14203.92560336126</c:v>
                </c:pt>
                <c:pt idx="18">
                  <c:v>13518.368910586394</c:v>
                </c:pt>
                <c:pt idx="19">
                  <c:v>12312.948433955722</c:v>
                </c:pt>
                <c:pt idx="20">
                  <c:v>11408.210339583231</c:v>
                </c:pt>
                <c:pt idx="21">
                  <c:v>11101.393867877094</c:v>
                </c:pt>
                <c:pt idx="22">
                  <c:v>10717.238785245485</c:v>
                </c:pt>
                <c:pt idx="23">
                  <c:v>10938.373505867019</c:v>
                </c:pt>
                <c:pt idx="24">
                  <c:v>11217.183947780464</c:v>
                </c:pt>
                <c:pt idx="25">
                  <c:v>11689.830309834306</c:v>
                </c:pt>
                <c:pt idx="26">
                  <c:v>12165.346576193431</c:v>
                </c:pt>
                <c:pt idx="27">
                  <c:v>12003.403480656563</c:v>
                </c:pt>
                <c:pt idx="28">
                  <c:v>12175.917492612036</c:v>
                </c:pt>
                <c:pt idx="29">
                  <c:v>12187.864282825962</c:v>
                </c:pt>
                <c:pt idx="30">
                  <c:v>10284.381690984163</c:v>
                </c:pt>
                <c:pt idx="31">
                  <c:v>10961.838152814733</c:v>
                </c:pt>
                <c:pt idx="32">
                  <c:v>11624.068329397804</c:v>
                </c:pt>
                <c:pt idx="33">
                  <c:v>11669.54984913248</c:v>
                </c:pt>
                <c:pt idx="34">
                  <c:v>11523.441710686775</c:v>
                </c:pt>
                <c:pt idx="35">
                  <c:v>11354.984559142207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57-4878-B6A1-FD2839D7D034}"/>
            </c:ext>
          </c:extLst>
        </c:ser>
        <c:ser>
          <c:idx val="6"/>
          <c:order val="6"/>
          <c:tx>
            <c:strRef>
              <c:f>'NEW Summary 1990-2025 CO2'!$A$17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1990-2025 CO2'!$B$1:$AK$1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CO2'!$B$17:$AK$17</c:f>
              <c:numCache>
                <c:formatCode>0.00</c:formatCode>
                <c:ptCount val="36"/>
                <c:pt idx="0">
                  <c:v>2248.5886289767441</c:v>
                </c:pt>
                <c:pt idx="1">
                  <c:v>2150.012596284198</c:v>
                </c:pt>
                <c:pt idx="2">
                  <c:v>2061.2945373635557</c:v>
                </c:pt>
                <c:pt idx="3">
                  <c:v>2026.3669793739109</c:v>
                </c:pt>
                <c:pt idx="4">
                  <c:v>2264.4382076653119</c:v>
                </c:pt>
                <c:pt idx="5">
                  <c:v>2177.8665288522147</c:v>
                </c:pt>
                <c:pt idx="6">
                  <c:v>2259.5965426297207</c:v>
                </c:pt>
                <c:pt idx="7">
                  <c:v>2588.3531903963726</c:v>
                </c:pt>
                <c:pt idx="8">
                  <c:v>2477.5449718304626</c:v>
                </c:pt>
                <c:pt idx="9">
                  <c:v>2427.3825065406445</c:v>
                </c:pt>
                <c:pt idx="10">
                  <c:v>2974.640672613853</c:v>
                </c:pt>
                <c:pt idx="11">
                  <c:v>3225.7895330443321</c:v>
                </c:pt>
                <c:pt idx="12">
                  <c:v>2986.6754465253357</c:v>
                </c:pt>
                <c:pt idx="13">
                  <c:v>2459.7814318361775</c:v>
                </c:pt>
                <c:pt idx="14">
                  <c:v>2631.0263476769992</c:v>
                </c:pt>
                <c:pt idx="15">
                  <c:v>2723.7431860085135</c:v>
                </c:pt>
                <c:pt idx="16">
                  <c:v>2665.7334376174649</c:v>
                </c:pt>
                <c:pt idx="17">
                  <c:v>2722.2120137714001</c:v>
                </c:pt>
                <c:pt idx="18">
                  <c:v>2431.2631326889828</c:v>
                </c:pt>
                <c:pt idx="19">
                  <c:v>1615.6142872225792</c:v>
                </c:pt>
                <c:pt idx="20">
                  <c:v>1421.5704495382395</c:v>
                </c:pt>
                <c:pt idx="21">
                  <c:v>1290.5169942072635</c:v>
                </c:pt>
                <c:pt idx="22">
                  <c:v>1516.7777164794836</c:v>
                </c:pt>
                <c:pt idx="23">
                  <c:v>1432.6659327467521</c:v>
                </c:pt>
                <c:pt idx="24">
                  <c:v>1777.6442430041789</c:v>
                </c:pt>
                <c:pt idx="25">
                  <c:v>1964.2772092972532</c:v>
                </c:pt>
                <c:pt idx="26">
                  <c:v>2105.7713700924428</c:v>
                </c:pt>
                <c:pt idx="27">
                  <c:v>2192.841298851672</c:v>
                </c:pt>
                <c:pt idx="28">
                  <c:v>2249.0022627793596</c:v>
                </c:pt>
                <c:pt idx="29">
                  <c:v>2220.1403621079921</c:v>
                </c:pt>
                <c:pt idx="30">
                  <c:v>2062.6375548821225</c:v>
                </c:pt>
                <c:pt idx="31">
                  <c:v>2426.7993505430045</c:v>
                </c:pt>
                <c:pt idx="32">
                  <c:v>2247.3241762829871</c:v>
                </c:pt>
                <c:pt idx="33">
                  <c:v>2105.037596319688</c:v>
                </c:pt>
                <c:pt idx="34">
                  <c:v>1824.0102297388048</c:v>
                </c:pt>
                <c:pt idx="35">
                  <c:v>1790.1475895782401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57-4878-B6A1-FD2839D7D034}"/>
            </c:ext>
          </c:extLst>
        </c:ser>
        <c:ser>
          <c:idx val="7"/>
          <c:order val="7"/>
          <c:tx>
            <c:strRef>
              <c:f>'NEW Summary 1990-2025 CO2'!$A$23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1990-2025 CO2'!$B$1:$AK$1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('NEW Summary 1990-2025 CO2'!$B$23:$AB$23,'NEW Summary 1990-2025 CO2'!$AC$23)</c:f>
              <c:numCache>
                <c:formatCode>0.00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7-4657-4878-B6A1-FD2839D7D034}"/>
            </c:ext>
          </c:extLst>
        </c:ser>
        <c:ser>
          <c:idx val="8"/>
          <c:order val="8"/>
          <c:tx>
            <c:strRef>
              <c:f>'NEW Summary 1990-2025 CO2'!$A$24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1990-2025 CO2'!$B$1:$AK$1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CO2'!$B$24:$AK$24</c:f>
              <c:numCache>
                <c:formatCode>0.00</c:formatCode>
                <c:ptCount val="36"/>
                <c:pt idx="0">
                  <c:v>1198.9399944037998</c:v>
                </c:pt>
                <c:pt idx="1">
                  <c:v>1194.4077297364577</c:v>
                </c:pt>
                <c:pt idx="2">
                  <c:v>1168.9517068408493</c:v>
                </c:pt>
                <c:pt idx="3">
                  <c:v>1267.5341566380346</c:v>
                </c:pt>
                <c:pt idx="4">
                  <c:v>1278.6789766673246</c:v>
                </c:pt>
                <c:pt idx="5">
                  <c:v>1648.8466040598496</c:v>
                </c:pt>
                <c:pt idx="6">
                  <c:v>1438.4147604229861</c:v>
                </c:pt>
                <c:pt idx="7">
                  <c:v>1382.8723307707157</c:v>
                </c:pt>
                <c:pt idx="8">
                  <c:v>1283.7647843129075</c:v>
                </c:pt>
                <c:pt idx="9">
                  <c:v>1395.4933742302219</c:v>
                </c:pt>
                <c:pt idx="10">
                  <c:v>1392.4830440321787</c:v>
                </c:pt>
                <c:pt idx="11">
                  <c:v>1414.6060902713609</c:v>
                </c:pt>
                <c:pt idx="12">
                  <c:v>1287.4433518726487</c:v>
                </c:pt>
                <c:pt idx="13">
                  <c:v>1444.0342663488727</c:v>
                </c:pt>
                <c:pt idx="14">
                  <c:v>1270.8219547802405</c:v>
                </c:pt>
                <c:pt idx="15">
                  <c:v>1332.8216767638457</c:v>
                </c:pt>
                <c:pt idx="16">
                  <c:v>1273.9354009012516</c:v>
                </c:pt>
                <c:pt idx="17">
                  <c:v>1331.6204599335015</c:v>
                </c:pt>
                <c:pt idx="18">
                  <c:v>1280.5448131267563</c:v>
                </c:pt>
                <c:pt idx="19">
                  <c:v>1212.2065337835534</c:v>
                </c:pt>
                <c:pt idx="20">
                  <c:v>1282.5328181477573</c:v>
                </c:pt>
                <c:pt idx="21">
                  <c:v>1145.8269252156883</c:v>
                </c:pt>
                <c:pt idx="22">
                  <c:v>966.57532231969185</c:v>
                </c:pt>
                <c:pt idx="23">
                  <c:v>1178.8340251763614</c:v>
                </c:pt>
                <c:pt idx="24">
                  <c:v>1001.9833347796048</c:v>
                </c:pt>
                <c:pt idx="25">
                  <c:v>995.22248899946635</c:v>
                </c:pt>
                <c:pt idx="26">
                  <c:v>1063.2121053964531</c:v>
                </c:pt>
                <c:pt idx="27">
                  <c:v>993.20516903171142</c:v>
                </c:pt>
                <c:pt idx="28">
                  <c:v>1173.6039863328251</c:v>
                </c:pt>
                <c:pt idx="29">
                  <c:v>1069.1133051169923</c:v>
                </c:pt>
                <c:pt idx="30">
                  <c:v>1162.359051499262</c:v>
                </c:pt>
                <c:pt idx="31">
                  <c:v>1347.9655266502359</c:v>
                </c:pt>
                <c:pt idx="32">
                  <c:v>1599.560711718734</c:v>
                </c:pt>
                <c:pt idx="33">
                  <c:v>1320.0731523687475</c:v>
                </c:pt>
                <c:pt idx="34">
                  <c:v>1366.6144163619349</c:v>
                </c:pt>
                <c:pt idx="35">
                  <c:v>1355.8509075050595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57-4878-B6A1-FD2839D7D034}"/>
            </c:ext>
          </c:extLst>
        </c:ser>
        <c:ser>
          <c:idx val="9"/>
          <c:order val="9"/>
          <c:tx>
            <c:strRef>
              <c:f>'NEW Summary 1990-2025 CO2'!$A$32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1990-2025 CO2'!$B$1:$AK$1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'NEW Summary 1990-2025 CO2'!$B$32:$AK$32</c:f>
              <c:numCache>
                <c:formatCode>0.00</c:formatCode>
                <c:ptCount val="36"/>
                <c:pt idx="0">
                  <c:v>95.586393100615695</c:v>
                </c:pt>
                <c:pt idx="1">
                  <c:v>95.701568661959485</c:v>
                </c:pt>
                <c:pt idx="2">
                  <c:v>96.409777034925</c:v>
                </c:pt>
                <c:pt idx="3">
                  <c:v>97.146005771354794</c:v>
                </c:pt>
                <c:pt idx="4">
                  <c:v>97.743558859034948</c:v>
                </c:pt>
                <c:pt idx="5">
                  <c:v>98.1600335732833</c:v>
                </c:pt>
                <c:pt idx="6">
                  <c:v>98.185391741055099</c:v>
                </c:pt>
                <c:pt idx="7">
                  <c:v>82.529457412034816</c:v>
                </c:pt>
                <c:pt idx="8">
                  <c:v>64.743899658318327</c:v>
                </c:pt>
                <c:pt idx="9">
                  <c:v>71.990219596908574</c:v>
                </c:pt>
                <c:pt idx="10">
                  <c:v>76.747551833598067</c:v>
                </c:pt>
                <c:pt idx="11">
                  <c:v>85.297958777457879</c:v>
                </c:pt>
                <c:pt idx="12">
                  <c:v>108.25982963815787</c:v>
                </c:pt>
                <c:pt idx="13">
                  <c:v>153.17601138730458</c:v>
                </c:pt>
                <c:pt idx="14">
                  <c:v>143.63979548265843</c:v>
                </c:pt>
                <c:pt idx="15">
                  <c:v>128.49588098665768</c:v>
                </c:pt>
                <c:pt idx="16">
                  <c:v>126.03620618235634</c:v>
                </c:pt>
                <c:pt idx="17">
                  <c:v>83.070144766725235</c:v>
                </c:pt>
                <c:pt idx="18">
                  <c:v>68.010329379495545</c:v>
                </c:pt>
                <c:pt idx="19">
                  <c:v>69.481061204742431</c:v>
                </c:pt>
                <c:pt idx="20">
                  <c:v>61.015934692261041</c:v>
                </c:pt>
                <c:pt idx="21">
                  <c:v>43.824279636887987</c:v>
                </c:pt>
                <c:pt idx="22">
                  <c:v>47.595212196436158</c:v>
                </c:pt>
                <c:pt idx="23">
                  <c:v>44.555258364823317</c:v>
                </c:pt>
                <c:pt idx="24">
                  <c:v>41.12491951987716</c:v>
                </c:pt>
                <c:pt idx="25">
                  <c:v>41.849098806649948</c:v>
                </c:pt>
                <c:pt idx="26">
                  <c:v>24.650008230852372</c:v>
                </c:pt>
                <c:pt idx="27">
                  <c:v>27.037659067065395</c:v>
                </c:pt>
                <c:pt idx="28">
                  <c:v>23.49070589395857</c:v>
                </c:pt>
                <c:pt idx="29">
                  <c:v>31.974186260019533</c:v>
                </c:pt>
                <c:pt idx="30">
                  <c:v>30.755385589257823</c:v>
                </c:pt>
                <c:pt idx="31">
                  <c:v>34.162086124035525</c:v>
                </c:pt>
                <c:pt idx="32">
                  <c:v>35.981826672200704</c:v>
                </c:pt>
                <c:pt idx="33">
                  <c:v>34.671125322561089</c:v>
                </c:pt>
                <c:pt idx="34">
                  <c:v>14.513963945614936</c:v>
                </c:pt>
                <c:pt idx="35">
                  <c:v>14.513963945614936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657-4878-B6A1-FD2839D7D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4137600"/>
        <c:axId val="224139136"/>
      </c:barChart>
      <c:catAx>
        <c:axId val="2241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139136"/>
        <c:crosses val="autoZero"/>
        <c:auto val="1"/>
        <c:lblAlgn val="ctr"/>
        <c:lblOffset val="100"/>
        <c:noMultiLvlLbl val="0"/>
      </c:catAx>
      <c:valAx>
        <c:axId val="224139136"/>
        <c:scaling>
          <c:orientation val="minMax"/>
          <c:max val="50000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IE" sz="1600"/>
                  <a:t>kt</a:t>
                </a:r>
                <a:r>
                  <a:rPr lang="en-IE" sz="1600" baseline="0"/>
                  <a:t> CO</a:t>
                </a:r>
                <a:r>
                  <a:rPr lang="en-IE" sz="1600" baseline="-25000"/>
                  <a:t>2</a:t>
                </a:r>
                <a:r>
                  <a:rPr lang="en-IE" sz="1600" baseline="0"/>
                  <a:t> equivalent</a:t>
                </a:r>
                <a:endParaRPr lang="en-IE" sz="1600"/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224137600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2025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5.1981802821697782E-3"/>
                  <c:y val="-2.005012847869729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47-4BD9-9518-5BD94E8D4231}"/>
                </c:ext>
              </c:extLst>
            </c:dLbl>
            <c:dLbl>
              <c:idx val="1"/>
              <c:layout>
                <c:manualLayout>
                  <c:x val="5.1981802821697782E-3"/>
                  <c:y val="-1.804511563082756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47-4BD9-9518-5BD94E8D4231}"/>
                </c:ext>
              </c:extLst>
            </c:dLbl>
            <c:dLbl>
              <c:idx val="2"/>
              <c:layout>
                <c:manualLayout>
                  <c:x val="1.5194179312979341E-2"/>
                  <c:y val="2.810659682431484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47-4BD9-9518-5BD94E8D4231}"/>
                </c:ext>
              </c:extLst>
            </c:dLbl>
            <c:dLbl>
              <c:idx val="3"/>
              <c:layout>
                <c:manualLayout>
                  <c:x val="-6.3704116870530153E-2"/>
                  <c:y val="-5.87701467633742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47-4BD9-9518-5BD94E8D4231}"/>
                </c:ext>
              </c:extLst>
            </c:dLbl>
            <c:dLbl>
              <c:idx val="4"/>
              <c:layout>
                <c:manualLayout>
                  <c:x val="-0.15971059178555727"/>
                  <c:y val="-4.39227309231389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47-4BD9-9518-5BD94E8D4231}"/>
                </c:ext>
              </c:extLst>
            </c:dLbl>
            <c:dLbl>
              <c:idx val="5"/>
              <c:layout>
                <c:manualLayout>
                  <c:x val="-8.1438157753993184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47-4BD9-9518-5BD94E8D4231}"/>
                </c:ext>
              </c:extLst>
            </c:dLbl>
            <c:dLbl>
              <c:idx val="6"/>
              <c:layout>
                <c:manualLayout>
                  <c:x val="-1.5883145156515001E-17"/>
                  <c:y val="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47-4BD9-9518-5BD94E8D4231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47-4BD9-9518-5BD94E8D4231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47-4BD9-9518-5BD94E8D4231}"/>
                </c:ext>
              </c:extLst>
            </c:dLbl>
            <c:dLbl>
              <c:idx val="9"/>
              <c:layout>
                <c:manualLayout>
                  <c:x val="0.12967888074396575"/>
                  <c:y val="2.25396976189450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47-4BD9-9518-5BD94E8D423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1990-2025 CO2'!$A$2,'NEW Summary 1990-2025 CO2'!$A$7,'NEW Summary 1990-2025 CO2'!$A$8,'NEW Summary 1990-2025 CO2'!$A$9,'NEW Summary 1990-2025 CO2'!$A$10,'NEW Summary 1990-2025 CO2'!$A$11,'NEW Summary 1990-2025 CO2'!$A$17,'NEW Summary 1990-2025 CO2'!$A$23,'NEW Summary 1990-2025 CO2'!$A$24,'NEW Summary 1990-2025 CO2'!$A$32)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1990-2025 CO2'!$AK$2,'NEW Summary 1990-2025 CO2'!$AK$7,'NEW Summary 1990-2025 CO2'!$AK$8,'NEW Summary 1990-2025 CO2'!$AK$9,'NEW Summary 1990-2025 CO2'!$AK$10,'NEW Summary 1990-2025 CO2'!$AK$11,'NEW Summary 1990-2025 CO2'!$AK$17,'NEW Summary 1990-2025 CO2'!$AK$23,'NEW Summary 1990-2025 CO2'!$AK$24,'NEW Summary 1990-2025 CO2'!$AK$32)</c:f>
              <c:numCache>
                <c:formatCode>0.00</c:formatCode>
                <c:ptCount val="10"/>
                <c:pt idx="0">
                  <c:v>6454.8402272943158</c:v>
                </c:pt>
                <c:pt idx="1">
                  <c:v>5096.9489617333993</c:v>
                </c:pt>
                <c:pt idx="2">
                  <c:v>4100.417091337993</c:v>
                </c:pt>
                <c:pt idx="3">
                  <c:v>705.25620066016518</c:v>
                </c:pt>
                <c:pt idx="4">
                  <c:v>671.45474301177205</c:v>
                </c:pt>
                <c:pt idx="5">
                  <c:v>11354.984559142207</c:v>
                </c:pt>
                <c:pt idx="6">
                  <c:v>1790.1475895782401</c:v>
                </c:pt>
                <c:pt idx="8">
                  <c:v>1355.8509075050595</c:v>
                </c:pt>
                <c:pt idx="9">
                  <c:v>14.513963945614936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247-4BD9-9518-5BD94E8D4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243471807403385E-2"/>
                  <c:y val="3.31149793887479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00-4766-8601-3357A44ED6DC}"/>
                </c:ext>
              </c:extLst>
            </c:dLbl>
            <c:dLbl>
              <c:idx val="1"/>
              <c:layout>
                <c:manualLayout>
                  <c:x val="2.721723232871753E-2"/>
                  <c:y val="-2.871144867254292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00-4766-8601-3357A44ED6DC}"/>
                </c:ext>
              </c:extLst>
            </c:dLbl>
            <c:dLbl>
              <c:idx val="2"/>
              <c:layout>
                <c:manualLayout>
                  <c:x val="-1.2169170666540682E-3"/>
                  <c:y val="1.352482627694006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00-4766-8601-3357A44ED6DC}"/>
                </c:ext>
              </c:extLst>
            </c:dLbl>
            <c:dLbl>
              <c:idx val="4"/>
              <c:layout>
                <c:manualLayout>
                  <c:x val="-5.8221232690741247E-2"/>
                  <c:y val="1.96116452681304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00-4766-8601-3357A44ED6DC}"/>
                </c:ext>
              </c:extLst>
            </c:dLbl>
            <c:dLbl>
              <c:idx val="5"/>
              <c:layout>
                <c:manualLayout>
                  <c:x val="-6.6420635351615534E-2"/>
                  <c:y val="2.199698502074277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00-4766-8601-3357A44ED6DC}"/>
                </c:ext>
              </c:extLst>
            </c:dLbl>
            <c:dLbl>
              <c:idx val="6"/>
              <c:layout>
                <c:manualLayout>
                  <c:x val="-5.041731263158987E-2"/>
                  <c:y val="1.496553662545049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00-4766-8601-3357A44ED6DC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00-4766-8601-3357A44ED6DC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00-4766-8601-3357A44ED6DC}"/>
                </c:ext>
              </c:extLst>
            </c:dLbl>
            <c:dLbl>
              <c:idx val="9"/>
              <c:layout>
                <c:manualLayout>
                  <c:x val="0.10993585273128142"/>
                  <c:y val="7.3094788973404202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00-4766-8601-3357A44ED6D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1990-2025 CO2'!$A$2,'NEW Summary 1990-2025 CO2'!$A$7,'NEW Summary 1990-2025 CO2'!$A$8,'NEW Summary 1990-2025 CO2'!$A$9,'NEW Summary 1990-2025 CO2'!$A$10,'NEW Summary 1990-2025 CO2'!$A$11,'NEW Summary 1990-2025 CO2'!$A$17,'NEW Summary 1990-2025 CO2'!$A$23,'NEW Summary 1990-2025 CO2'!$A$24,'NEW Summary 1990-2025 CO2'!$A$32)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1990-2025 CO2'!$B$2,'NEW Summary 1990-2025 CO2'!$B$7,'NEW Summary 1990-2025 CO2'!$B$8,'NEW Summary 1990-2025 CO2'!$B$9,'NEW Summary 1990-2025 CO2'!$B$10,'NEW Summary 1990-2025 CO2'!$B$11,'NEW Summary 1990-2025 CO2'!$B$17,'NEW Summary 1990-2025 CO2'!$B$23,'NEW Summary 1990-2025 CO2'!$B$24,'NEW Summary 1990-2025 CO2'!$B$32)</c:f>
              <c:numCache>
                <c:formatCode>0.00</c:formatCode>
                <c:ptCount val="10"/>
                <c:pt idx="0">
                  <c:v>11145.011029805726</c:v>
                </c:pt>
                <c:pt idx="1">
                  <c:v>7048.0605646195017</c:v>
                </c:pt>
                <c:pt idx="2">
                  <c:v>4057.7635904741737</c:v>
                </c:pt>
                <c:pt idx="3">
                  <c:v>1004.0345660655863</c:v>
                </c:pt>
                <c:pt idx="4">
                  <c:v>1116.7561679407922</c:v>
                </c:pt>
                <c:pt idx="5">
                  <c:v>5029.64547279402</c:v>
                </c:pt>
                <c:pt idx="6">
                  <c:v>2248.5886289767441</c:v>
                </c:pt>
                <c:pt idx="8">
                  <c:v>1198.9399944037998</c:v>
                </c:pt>
                <c:pt idx="9">
                  <c:v>95.586393100615695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300-4766-8601-3357A44ED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570706</xdr:colOff>
      <xdr:row>50</xdr:row>
      <xdr:rowOff>151606</xdr:rowOff>
    </xdr:from>
    <xdr:to>
      <xdr:col>23</xdr:col>
      <xdr:colOff>215900</xdr:colOff>
      <xdr:row>77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F83540-0B0D-463D-A58F-AF849686C3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673100</xdr:colOff>
      <xdr:row>80</xdr:row>
      <xdr:rowOff>19050</xdr:rowOff>
    </xdr:from>
    <xdr:to>
      <xdr:col>8</xdr:col>
      <xdr:colOff>143670</xdr:colOff>
      <xdr:row>113</xdr:row>
      <xdr:rowOff>102393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57076B28-EFBF-4AC3-BE30-A833EF20E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215900</xdr:colOff>
      <xdr:row>80</xdr:row>
      <xdr:rowOff>19050</xdr:rowOff>
    </xdr:from>
    <xdr:to>
      <xdr:col>21</xdr:col>
      <xdr:colOff>6350</xdr:colOff>
      <xdr:row>113</xdr:row>
      <xdr:rowOff>90488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81030B6-2945-4831-8413-8593FC26D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1101090</xdr:colOff>
      <xdr:row>116</xdr:row>
      <xdr:rowOff>158750</xdr:rowOff>
    </xdr:from>
    <xdr:to>
      <xdr:col>24</xdr:col>
      <xdr:colOff>546100</xdr:colOff>
      <xdr:row>146</xdr:row>
      <xdr:rowOff>3334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4968D9D2-4E3C-47D1-9675-9DEDFFF62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251460</xdr:colOff>
      <xdr:row>80</xdr:row>
      <xdr:rowOff>29210</xdr:rowOff>
    </xdr:from>
    <xdr:to>
      <xdr:col>42</xdr:col>
      <xdr:colOff>565150</xdr:colOff>
      <xdr:row>113</xdr:row>
      <xdr:rowOff>100648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6B6D0D63-A589-4778-99E7-0D4BAC1CB3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95250</xdr:colOff>
      <xdr:row>80</xdr:row>
      <xdr:rowOff>31750</xdr:rowOff>
    </xdr:from>
    <xdr:to>
      <xdr:col>32</xdr:col>
      <xdr:colOff>180340</xdr:colOff>
      <xdr:row>113</xdr:row>
      <xdr:rowOff>103188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C92B770-0D44-4E4C-B3EA-7E4A274AA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843756</xdr:colOff>
      <xdr:row>49</xdr:row>
      <xdr:rowOff>157956</xdr:rowOff>
    </xdr:from>
    <xdr:to>
      <xdr:col>26</xdr:col>
      <xdr:colOff>571500</xdr:colOff>
      <xdr:row>78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FC7038-6327-4C96-95E2-11B9BFF3B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101600</xdr:colOff>
      <xdr:row>81</xdr:row>
      <xdr:rowOff>129381</xdr:rowOff>
    </xdr:from>
    <xdr:to>
      <xdr:col>23</xdr:col>
      <xdr:colOff>93663</xdr:colOff>
      <xdr:row>115</xdr:row>
      <xdr:rowOff>10319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125EF4-1182-4313-BA10-6ED60DDC5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62705</xdr:colOff>
      <xdr:row>81</xdr:row>
      <xdr:rowOff>142081</xdr:rowOff>
    </xdr:from>
    <xdr:to>
      <xdr:col>11</xdr:col>
      <xdr:colOff>658018</xdr:colOff>
      <xdr:row>115</xdr:row>
      <xdr:rowOff>34924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4D1ACC21-8DB6-490B-A8C3-BEC747D45B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361156</xdr:colOff>
      <xdr:row>48</xdr:row>
      <xdr:rowOff>165100</xdr:rowOff>
    </xdr:from>
    <xdr:to>
      <xdr:col>31</xdr:col>
      <xdr:colOff>76200</xdr:colOff>
      <xdr:row>74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1B6EFB-F2FA-4543-ACB1-835A43931B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635000</xdr:colOff>
      <xdr:row>77</xdr:row>
      <xdr:rowOff>15081</xdr:rowOff>
    </xdr:from>
    <xdr:to>
      <xdr:col>29</xdr:col>
      <xdr:colOff>627063</xdr:colOff>
      <xdr:row>110</xdr:row>
      <xdr:rowOff>86519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1699C71-57A1-4462-8C9C-36C554950A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558005</xdr:colOff>
      <xdr:row>77</xdr:row>
      <xdr:rowOff>15081</xdr:rowOff>
    </xdr:from>
    <xdr:to>
      <xdr:col>18</xdr:col>
      <xdr:colOff>492918</xdr:colOff>
      <xdr:row>110</xdr:row>
      <xdr:rowOff>98424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19781AC8-4579-4761-B033-B1CDB5EC3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869156</xdr:colOff>
      <xdr:row>48</xdr:row>
      <xdr:rowOff>139700</xdr:rowOff>
    </xdr:from>
    <xdr:to>
      <xdr:col>37</xdr:col>
      <xdr:colOff>508000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0724BE-8B3F-418B-93AE-8510BA03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25400</xdr:colOff>
      <xdr:row>76</xdr:row>
      <xdr:rowOff>129381</xdr:rowOff>
    </xdr:from>
    <xdr:to>
      <xdr:col>23</xdr:col>
      <xdr:colOff>76200</xdr:colOff>
      <xdr:row>110</xdr:row>
      <xdr:rowOff>10319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60A2F-7485-4BC4-AECC-7BBE557FFA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11905</xdr:colOff>
      <xdr:row>76</xdr:row>
      <xdr:rowOff>142081</xdr:rowOff>
    </xdr:from>
    <xdr:to>
      <xdr:col>11</xdr:col>
      <xdr:colOff>578643</xdr:colOff>
      <xdr:row>110</xdr:row>
      <xdr:rowOff>34924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6D791D6C-F255-416C-8D48-7BA5D0C2D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777688</xdr:colOff>
      <xdr:row>49</xdr:row>
      <xdr:rowOff>80683</xdr:rowOff>
    </xdr:from>
    <xdr:to>
      <xdr:col>37</xdr:col>
      <xdr:colOff>28387</xdr:colOff>
      <xdr:row>74</xdr:row>
      <xdr:rowOff>37353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49E85D-F663-445A-A9B5-1EEDD8915D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393700</xdr:colOff>
      <xdr:row>119</xdr:row>
      <xdr:rowOff>4617</xdr:rowOff>
    </xdr:from>
    <xdr:to>
      <xdr:col>41</xdr:col>
      <xdr:colOff>254000</xdr:colOff>
      <xdr:row>150</xdr:row>
      <xdr:rowOff>77355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2B76D8-D8EE-4ECA-B2DA-CD4F914A0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304800</xdr:colOff>
      <xdr:row>152</xdr:row>
      <xdr:rowOff>42635</xdr:rowOff>
    </xdr:from>
    <xdr:to>
      <xdr:col>28</xdr:col>
      <xdr:colOff>177800</xdr:colOff>
      <xdr:row>186</xdr:row>
      <xdr:rowOff>28780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B3B94F-F1A8-4243-835F-C034BA9C2E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317748</xdr:colOff>
      <xdr:row>151</xdr:row>
      <xdr:rowOff>186706</xdr:rowOff>
    </xdr:from>
    <xdr:to>
      <xdr:col>39</xdr:col>
      <xdr:colOff>609600</xdr:colOff>
      <xdr:row>185</xdr:row>
      <xdr:rowOff>172852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8398D6E-91BC-4CAF-BA26-53ABF3A17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330200</xdr:colOff>
      <xdr:row>187</xdr:row>
      <xdr:rowOff>12700</xdr:rowOff>
    </xdr:from>
    <xdr:to>
      <xdr:col>28</xdr:col>
      <xdr:colOff>330200</xdr:colOff>
      <xdr:row>220</xdr:row>
      <xdr:rowOff>96043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CCF19225-534E-48CC-8C98-8143B42C6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533400</xdr:colOff>
      <xdr:row>187</xdr:row>
      <xdr:rowOff>12700</xdr:rowOff>
    </xdr:from>
    <xdr:to>
      <xdr:col>40</xdr:col>
      <xdr:colOff>63500</xdr:colOff>
      <xdr:row>220</xdr:row>
      <xdr:rowOff>96043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108694DE-8A9F-4F45-9891-125AC4C6D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614680</xdr:colOff>
      <xdr:row>56</xdr:row>
      <xdr:rowOff>299720</xdr:rowOff>
    </xdr:from>
    <xdr:to>
      <xdr:col>27</xdr:col>
      <xdr:colOff>500380</xdr:colOff>
      <xdr:row>81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FABBFC-04C0-4120-8871-013F852DA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952500</xdr:colOff>
      <xdr:row>70</xdr:row>
      <xdr:rowOff>63500</xdr:rowOff>
    </xdr:from>
    <xdr:to>
      <xdr:col>13</xdr:col>
      <xdr:colOff>12700</xdr:colOff>
      <xdr:row>99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319EF75-5562-4C23-8B9B-A8E8267EE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1397000</xdr:colOff>
      <xdr:row>101</xdr:row>
      <xdr:rowOff>44448</xdr:rowOff>
    </xdr:from>
    <xdr:to>
      <xdr:col>12</xdr:col>
      <xdr:colOff>431800</xdr:colOff>
      <xdr:row>123</xdr:row>
      <xdr:rowOff>177799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63B4190-B0F6-42A2-AEA6-452E0935A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E63BC-8EB3-4C5B-8B23-793E49E3E473}">
  <sheetPr>
    <tabColor rgb="FFFF0000"/>
    <outlinePr summaryBelow="0"/>
  </sheetPr>
  <dimension ref="A1:BE87"/>
  <sheetViews>
    <sheetView tabSelected="1" zoomScale="75" zoomScaleNormal="75" workbookViewId="0">
      <pane ySplit="1" topLeftCell="A2" activePane="bottomLeft" state="frozen"/>
      <selection activeCell="S51" sqref="S51"/>
      <selection pane="bottomLeft"/>
    </sheetView>
  </sheetViews>
  <sheetFormatPr defaultColWidth="9.28515625" defaultRowHeight="15" outlineLevelRow="1" x14ac:dyDescent="0.25"/>
  <cols>
    <col min="1" max="1" width="43.5703125" style="6" customWidth="1"/>
    <col min="2" max="2" width="9.85546875" style="6" bestFit="1" customWidth="1"/>
    <col min="3" max="12" width="10.5703125" style="6" bestFit="1" customWidth="1"/>
    <col min="13" max="36" width="9.85546875" style="6" bestFit="1" customWidth="1"/>
    <col min="37" max="37" width="9.85546875" style="6" customWidth="1"/>
    <col min="38" max="38" width="13.140625" style="6" bestFit="1" customWidth="1"/>
    <col min="39" max="39" width="13.28515625" style="6" customWidth="1"/>
    <col min="40" max="40" width="11" style="6" bestFit="1" customWidth="1"/>
    <col min="41" max="41" width="12.28515625" style="6" customWidth="1"/>
    <col min="42" max="42" width="11.28515625" style="6" customWidth="1"/>
    <col min="43" max="43" width="10.42578125" style="6" customWidth="1"/>
    <col min="44" max="44" width="9.7109375" style="6" customWidth="1"/>
    <col min="45" max="45" width="9.42578125" style="6" bestFit="1" customWidth="1"/>
    <col min="46" max="46" width="9.42578125" style="6" customWidth="1"/>
    <col min="47" max="47" width="11" style="6" bestFit="1" customWidth="1"/>
    <col min="48" max="48" width="9.28515625" style="6"/>
    <col min="49" max="49" width="10.7109375" style="6" customWidth="1"/>
    <col min="50" max="50" width="7" style="6" bestFit="1" customWidth="1"/>
    <col min="51" max="51" width="9.85546875" style="6" bestFit="1" customWidth="1"/>
    <col min="52" max="52" width="8.140625" style="6" bestFit="1" customWidth="1"/>
    <col min="53" max="53" width="7" style="6" bestFit="1" customWidth="1"/>
    <col min="54" max="54" width="7.5703125" style="6" bestFit="1" customWidth="1"/>
    <col min="55" max="55" width="7" style="6" bestFit="1" customWidth="1"/>
    <col min="56" max="57" width="8.140625" style="6" bestFit="1" customWidth="1"/>
    <col min="58" max="16384" width="9.28515625" style="6"/>
  </cols>
  <sheetData>
    <row r="1" spans="1:57" ht="30" x14ac:dyDescent="0.25">
      <c r="A1" s="1" t="s">
        <v>0</v>
      </c>
      <c r="B1" s="2">
        <v>1990</v>
      </c>
      <c r="C1" s="2">
        <v>1991</v>
      </c>
      <c r="D1" s="2">
        <v>1992</v>
      </c>
      <c r="E1" s="2">
        <v>1993</v>
      </c>
      <c r="F1" s="2">
        <v>1994</v>
      </c>
      <c r="G1" s="2">
        <v>1995</v>
      </c>
      <c r="H1" s="2">
        <v>1996</v>
      </c>
      <c r="I1" s="2">
        <v>1997</v>
      </c>
      <c r="J1" s="2">
        <v>1998</v>
      </c>
      <c r="K1" s="2">
        <v>1999</v>
      </c>
      <c r="L1" s="2">
        <v>2000</v>
      </c>
      <c r="M1" s="2">
        <v>2001</v>
      </c>
      <c r="N1" s="2">
        <v>2002</v>
      </c>
      <c r="O1" s="2">
        <v>2003</v>
      </c>
      <c r="P1" s="2">
        <v>2004</v>
      </c>
      <c r="Q1" s="2">
        <v>2005</v>
      </c>
      <c r="R1" s="2">
        <v>2006</v>
      </c>
      <c r="S1" s="2">
        <v>2007</v>
      </c>
      <c r="T1" s="2">
        <v>2008</v>
      </c>
      <c r="U1" s="2">
        <v>2009</v>
      </c>
      <c r="V1" s="2">
        <v>2010</v>
      </c>
      <c r="W1" s="2">
        <v>2011</v>
      </c>
      <c r="X1" s="2">
        <v>2012</v>
      </c>
      <c r="Y1" s="2">
        <v>2013</v>
      </c>
      <c r="Z1" s="2">
        <v>2014</v>
      </c>
      <c r="AA1" s="2">
        <v>2015</v>
      </c>
      <c r="AB1" s="2">
        <v>2016</v>
      </c>
      <c r="AC1" s="2">
        <v>2017</v>
      </c>
      <c r="AD1" s="2">
        <v>2018</v>
      </c>
      <c r="AE1" s="2">
        <v>2019</v>
      </c>
      <c r="AF1" s="2">
        <v>2020</v>
      </c>
      <c r="AG1" s="2">
        <v>2021</v>
      </c>
      <c r="AH1" s="2">
        <v>2022</v>
      </c>
      <c r="AI1" s="2">
        <v>2023</v>
      </c>
      <c r="AJ1" s="2">
        <v>2024</v>
      </c>
      <c r="AK1" s="2">
        <v>2025</v>
      </c>
      <c r="AL1" s="1" t="s">
        <v>1</v>
      </c>
      <c r="AM1" s="1" t="s">
        <v>2</v>
      </c>
      <c r="AN1" s="3" t="s">
        <v>3</v>
      </c>
      <c r="AO1" s="4"/>
      <c r="AP1" s="3" t="s">
        <v>4</v>
      </c>
      <c r="AQ1" s="5" t="s">
        <v>5</v>
      </c>
      <c r="AS1" s="5" t="s">
        <v>6</v>
      </c>
      <c r="AU1" s="3" t="s">
        <v>7</v>
      </c>
      <c r="AW1" s="3" t="s">
        <v>8</v>
      </c>
    </row>
    <row r="2" spans="1:57" x14ac:dyDescent="0.25">
      <c r="A2" s="7" t="s">
        <v>9</v>
      </c>
      <c r="B2" s="8">
        <f t="shared" ref="B2:AA2" si="0">SUM(B3:B6)</f>
        <v>11315.301005472866</v>
      </c>
      <c r="C2" s="8">
        <f t="shared" si="0"/>
        <v>11765.228522519617</v>
      </c>
      <c r="D2" s="8">
        <f t="shared" si="0"/>
        <v>12421.329934179974</v>
      </c>
      <c r="E2" s="8">
        <f t="shared" si="0"/>
        <v>12439.203148006565</v>
      </c>
      <c r="F2" s="8">
        <f t="shared" si="0"/>
        <v>12774.644178044819</v>
      </c>
      <c r="G2" s="8">
        <f t="shared" si="0"/>
        <v>13458.404690372941</v>
      </c>
      <c r="H2" s="8">
        <f t="shared" si="0"/>
        <v>14175.558808211925</v>
      </c>
      <c r="I2" s="8">
        <f t="shared" si="0"/>
        <v>14829.635122104486</v>
      </c>
      <c r="J2" s="8">
        <f t="shared" si="0"/>
        <v>15195.44996359741</v>
      </c>
      <c r="K2" s="8">
        <f t="shared" si="0"/>
        <v>15891.645103417151</v>
      </c>
      <c r="L2" s="8">
        <f t="shared" si="0"/>
        <v>16168.629446525063</v>
      </c>
      <c r="M2" s="8">
        <f t="shared" si="0"/>
        <v>17455.607981275611</v>
      </c>
      <c r="N2" s="8">
        <f t="shared" si="0"/>
        <v>16457.932924800811</v>
      </c>
      <c r="O2" s="8">
        <f t="shared" si="0"/>
        <v>16510.314840322626</v>
      </c>
      <c r="P2" s="8">
        <f t="shared" si="0"/>
        <v>15379.178063121177</v>
      </c>
      <c r="Q2" s="8">
        <f t="shared" si="0"/>
        <v>15863.207834359135</v>
      </c>
      <c r="R2" s="8">
        <f t="shared" si="0"/>
        <v>15119.001938303685</v>
      </c>
      <c r="S2" s="8">
        <f t="shared" si="0"/>
        <v>14630.132405644532</v>
      </c>
      <c r="T2" s="8">
        <f t="shared" si="0"/>
        <v>14741.793508870869</v>
      </c>
      <c r="U2" s="8">
        <f t="shared" si="0"/>
        <v>13150.097289462346</v>
      </c>
      <c r="V2" s="8">
        <f t="shared" si="0"/>
        <v>13412.340080309787</v>
      </c>
      <c r="W2" s="8">
        <f t="shared" si="0"/>
        <v>12014.354536453155</v>
      </c>
      <c r="X2" s="8">
        <f t="shared" si="0"/>
        <v>12856.144755758403</v>
      </c>
      <c r="Y2" s="8">
        <f t="shared" si="0"/>
        <v>11494.357498067697</v>
      </c>
      <c r="Z2" s="8">
        <f t="shared" si="0"/>
        <v>11335.656495350378</v>
      </c>
      <c r="AA2" s="8">
        <f t="shared" si="0"/>
        <v>11898.441141706975</v>
      </c>
      <c r="AB2" s="8">
        <f>SUM(AB3:AB6)</f>
        <v>12620.594444558881</v>
      </c>
      <c r="AC2" s="8">
        <f>SUM(AC3:AC6)</f>
        <v>11809.839859021191</v>
      </c>
      <c r="AD2" s="8">
        <f t="shared" ref="AD2:AK2" si="1">SUM(AD3:AD6)</f>
        <v>10485.923453256857</v>
      </c>
      <c r="AE2" s="8">
        <f t="shared" si="1"/>
        <v>9235.802033265225</v>
      </c>
      <c r="AF2" s="8">
        <f t="shared" si="1"/>
        <v>8589.7396329493185</v>
      </c>
      <c r="AG2" s="8">
        <f t="shared" si="1"/>
        <v>10112.971298881808</v>
      </c>
      <c r="AH2" s="8">
        <f t="shared" si="1"/>
        <v>9928.0675222253194</v>
      </c>
      <c r="AI2" s="8">
        <f t="shared" si="1"/>
        <v>7784.4273652604943</v>
      </c>
      <c r="AJ2" s="8">
        <f t="shared" si="1"/>
        <v>7095.0796459024004</v>
      </c>
      <c r="AK2" s="8">
        <f t="shared" si="1"/>
        <v>6589.555920844462</v>
      </c>
      <c r="AL2" s="9">
        <f t="shared" ref="AL2:AL18" si="2">AK2/$AK$47</f>
        <v>0.12515853502522398</v>
      </c>
      <c r="AM2" s="9">
        <f t="shared" ref="AM2:AM18" si="3">AK2/$AK$48</f>
        <v>0.11945438539190702</v>
      </c>
      <c r="AN2" s="9">
        <f t="shared" ref="AN2:AN18" si="4">(AK2-B2)/B2</f>
        <v>-0.41764201255827882</v>
      </c>
      <c r="AO2" s="10"/>
      <c r="AP2" s="11">
        <f t="shared" ref="AP2:AP18" si="5">(AK2-AJ2)/AJ2</f>
        <v>-7.1249901380584499E-2</v>
      </c>
      <c r="AQ2" s="12">
        <f t="shared" ref="AQ2:AQ18" si="6">AK2-AJ2</f>
        <v>-505.52372505793846</v>
      </c>
      <c r="AS2" s="12">
        <f>AQ2/1000</f>
        <v>-0.50552372505793841</v>
      </c>
      <c r="AU2" s="9">
        <f t="shared" ref="AU2:AU18" si="7">(AK2-Q2)/Q2</f>
        <v>-0.58460129945648687</v>
      </c>
      <c r="AW2" s="9">
        <f t="shared" ref="AW2:AW18" si="8">(AK2-AD2)/AD2</f>
        <v>-0.37158077204942874</v>
      </c>
    </row>
    <row r="3" spans="1:57" outlineLevel="1" x14ac:dyDescent="0.25">
      <c r="A3" s="13" t="s">
        <v>10</v>
      </c>
      <c r="B3" s="14">
        <f>#REF!+#REF!+#REF!</f>
        <v>10946.843523875565</v>
      </c>
      <c r="C3" s="14">
        <f>#REF!+#REF!+#REF!</f>
        <v>11433.692129653446</v>
      </c>
      <c r="D3" s="14">
        <f>#REF!+#REF!+#REF!</f>
        <v>12101.044184231978</v>
      </c>
      <c r="E3" s="14">
        <f>#REF!+#REF!+#REF!</f>
        <v>12119.179641532803</v>
      </c>
      <c r="F3" s="14">
        <f>#REF!+#REF!+#REF!</f>
        <v>12441.334762477909</v>
      </c>
      <c r="G3" s="14">
        <f>#REF!+#REF!+#REF!</f>
        <v>13125.652082965194</v>
      </c>
      <c r="H3" s="14">
        <f>#REF!+#REF!+#REF!</f>
        <v>13844.487886362778</v>
      </c>
      <c r="I3" s="14">
        <f>#REF!+#REF!+#REF!</f>
        <v>14483.159958911916</v>
      </c>
      <c r="J3" s="14">
        <f>#REF!+#REF!+#REF!</f>
        <v>14806.58635564058</v>
      </c>
      <c r="K3" s="14">
        <f>#REF!+#REF!+#REF!</f>
        <v>15490.970355986419</v>
      </c>
      <c r="L3" s="14">
        <f>#REF!+#REF!+#REF!</f>
        <v>15747.195053909554</v>
      </c>
      <c r="M3" s="14">
        <f>#REF!+#REF!+#REF!</f>
        <v>16886.063303967669</v>
      </c>
      <c r="N3" s="14">
        <f>#REF!+#REF!+#REF!</f>
        <v>15925.41540612071</v>
      </c>
      <c r="O3" s="14">
        <f>#REF!+#REF!+#REF!</f>
        <v>15211.825036455939</v>
      </c>
      <c r="P3" s="14">
        <f>#REF!+#REF!+#REF!</f>
        <v>14827.243111807311</v>
      </c>
      <c r="Q3" s="14">
        <f>#REF!+#REF!+#REF!</f>
        <v>15234.82172246681</v>
      </c>
      <c r="R3" s="14">
        <f>#REF!+#REF!+#REF!</f>
        <v>14516.122580431371</v>
      </c>
      <c r="S3" s="14">
        <f>#REF!+#REF!+#REF!</f>
        <v>14044.166487460057</v>
      </c>
      <c r="T3" s="14">
        <f>#REF!+#REF!+#REF!</f>
        <v>14140.127846195619</v>
      </c>
      <c r="U3" s="14">
        <f>#REF!+#REF!+#REF!</f>
        <v>12596.220943103031</v>
      </c>
      <c r="V3" s="14">
        <f>#REF!+#REF!+#REF!</f>
        <v>12880.062345941817</v>
      </c>
      <c r="W3" s="14">
        <f>#REF!+#REF!+#REF!</f>
        <v>11546.745822687759</v>
      </c>
      <c r="X3" s="14">
        <f>#REF!+#REF!+#REF!</f>
        <v>12351.569083559361</v>
      </c>
      <c r="Y3" s="14">
        <f>#REF!+#REF!+#REF!</f>
        <v>10993.865290598997</v>
      </c>
      <c r="Z3" s="14">
        <f>#REF!+#REF!+#REF!</f>
        <v>10831.279774075078</v>
      </c>
      <c r="AA3" s="14">
        <f>#REF!+#REF!+#REF!</f>
        <v>11380.33919204489</v>
      </c>
      <c r="AB3" s="14">
        <f>#REF!+#REF!+#REF!</f>
        <v>12136.129129507779</v>
      </c>
      <c r="AC3" s="14">
        <f>#REF!+#REF!+#REF!</f>
        <v>11319.25220538061</v>
      </c>
      <c r="AD3" s="14">
        <f>#REF!+#REF!+#REF!</f>
        <v>9994.6219151056739</v>
      </c>
      <c r="AE3" s="14">
        <f>#REF!+#REF!+#REF!</f>
        <v>8809.3731150844942</v>
      </c>
      <c r="AF3" s="14">
        <f>#REF!+#REF!+#REF!</f>
        <v>8151.8054958891962</v>
      </c>
      <c r="AG3" s="14">
        <f>#REF!+#REF!+#REF!</f>
        <v>9703.8013828448002</v>
      </c>
      <c r="AH3" s="14">
        <f>#REF!+#REF!+#REF!</f>
        <v>9521.0620695592534</v>
      </c>
      <c r="AI3" s="14">
        <f>#REF!+#REF!+#REF!</f>
        <v>7432.3599257244814</v>
      </c>
      <c r="AJ3" s="14">
        <f>#REF!+#REF!+#REF!</f>
        <v>6840.936476758724</v>
      </c>
      <c r="AK3" s="14">
        <f>#REF!+#REF!+#REF!</f>
        <v>6257.6967600440739</v>
      </c>
      <c r="AL3" s="15">
        <f t="shared" si="2"/>
        <v>0.11885537789302773</v>
      </c>
      <c r="AM3" s="15">
        <f t="shared" si="3"/>
        <v>0.11343849713383997</v>
      </c>
      <c r="AN3" s="15">
        <f t="shared" si="4"/>
        <v>-0.42835606022907408</v>
      </c>
      <c r="AO3" s="10"/>
      <c r="AP3" s="16">
        <f t="shared" si="5"/>
        <v>-8.5257291702113935E-2</v>
      </c>
      <c r="AQ3" s="17">
        <f t="shared" si="6"/>
        <v>-583.23971671465006</v>
      </c>
      <c r="AS3" s="17">
        <f t="shared" ref="AS3:AS44" si="9">AQ3/1000</f>
        <v>-0.58323971671465002</v>
      </c>
      <c r="AU3" s="18">
        <f t="shared" si="7"/>
        <v>-0.58925041106218912</v>
      </c>
      <c r="AW3" s="18">
        <f t="shared" si="8"/>
        <v>-0.37389359865766258</v>
      </c>
      <c r="AX3" s="19"/>
      <c r="AY3" s="19"/>
      <c r="AZ3" s="19"/>
      <c r="BA3" s="19"/>
      <c r="BB3" s="19"/>
      <c r="BC3" s="19"/>
      <c r="BD3" s="19"/>
      <c r="BE3" s="19"/>
    </row>
    <row r="4" spans="1:57" outlineLevel="1" x14ac:dyDescent="0.25">
      <c r="A4" s="13" t="s">
        <v>11</v>
      </c>
      <c r="B4" s="14">
        <f>(#REF!)+(#REF!*28)+(#REF!*265)</f>
        <v>168.66576614807283</v>
      </c>
      <c r="C4" s="14">
        <f>(#REF!)+(#REF!*28)+(#REF!*265)</f>
        <v>166.7065489871022</v>
      </c>
      <c r="D4" s="14">
        <f>(#REF!)+(#REF!*28)+(#REF!*265)</f>
        <v>171.81259630137541</v>
      </c>
      <c r="E4" s="14">
        <f>(#REF!)+(#REF!*28)+(#REF!*265)</f>
        <v>172.64737647267123</v>
      </c>
      <c r="F4" s="14">
        <f>(#REF!)+(#REF!*28)+(#REF!*265)</f>
        <v>178.26396764899857</v>
      </c>
      <c r="G4" s="14">
        <f>(#REF!)+(#REF!*28)+(#REF!*265)</f>
        <v>181.26989872689239</v>
      </c>
      <c r="H4" s="14">
        <f>(#REF!)+(#REF!*28)+(#REF!*265)</f>
        <v>179.40235018283821</v>
      </c>
      <c r="I4" s="14">
        <f>(#REF!)+(#REF!*28)+(#REF!*265)</f>
        <v>218.74167521279281</v>
      </c>
      <c r="J4" s="14">
        <f>(#REF!)+(#REF!*28)+(#REF!*265)</f>
        <v>247.81316125481283</v>
      </c>
      <c r="K4" s="14">
        <f>(#REF!)+(#REF!*28)+(#REF!*265)</f>
        <v>223.85133218924642</v>
      </c>
      <c r="L4" s="14">
        <f>(#REF!)+(#REF!*28)+(#REF!*265)</f>
        <v>274.79238972801477</v>
      </c>
      <c r="M4" s="14">
        <f>(#REF!)+(#REF!*28)+(#REF!*265)</f>
        <v>321.4774326173652</v>
      </c>
      <c r="N4" s="14">
        <f>(#REF!)+(#REF!*28)+(#REF!*265)</f>
        <v>339.73882273997816</v>
      </c>
      <c r="O4" s="14">
        <f>(#REF!)+(#REF!*28)+(#REF!*265)</f>
        <v>337.57014904780323</v>
      </c>
      <c r="P4" s="14">
        <f>(#REF!)+(#REF!*28)+(#REF!*265)</f>
        <v>336.64547205054896</v>
      </c>
      <c r="Q4" s="14">
        <f>(#REF!)+(#REF!*28)+(#REF!*265)</f>
        <v>411.84774046887355</v>
      </c>
      <c r="R4" s="14">
        <f>(#REF!)+(#REF!*28)+(#REF!*265)</f>
        <v>377.12687894985856</v>
      </c>
      <c r="S4" s="14">
        <f>(#REF!)+(#REF!*28)+(#REF!*265)</f>
        <v>360.77678263720082</v>
      </c>
      <c r="T4" s="14">
        <f>(#REF!)+(#REF!*28)+(#REF!*265)</f>
        <v>367.45541597351496</v>
      </c>
      <c r="U4" s="14">
        <f>(#REF!)+(#REF!*28)+(#REF!*265)</f>
        <v>315.37006596386561</v>
      </c>
      <c r="V4" s="14">
        <f>(#REF!)+(#REF!*28)+(#REF!*265)</f>
        <v>310.46125964804526</v>
      </c>
      <c r="W4" s="14">
        <f>(#REF!)+(#REF!*28)+(#REF!*265)</f>
        <v>285.4813921873552</v>
      </c>
      <c r="X4" s="14">
        <f>(#REF!)+(#REF!*28)+(#REF!*265)</f>
        <v>313.63466958835045</v>
      </c>
      <c r="Y4" s="14">
        <f>(#REF!)+(#REF!*28)+(#REF!*265)</f>
        <v>294.55428897866591</v>
      </c>
      <c r="Z4" s="14">
        <f>(#REF!)+(#REF!*28)+(#REF!*265)</f>
        <v>279.46823698105112</v>
      </c>
      <c r="AA4" s="14">
        <f>(#REF!)+(#REF!*28)+(#REF!*265)</f>
        <v>358.71877976089263</v>
      </c>
      <c r="AB4" s="14">
        <f>(#REF!)+(#REF!*28)+(#REF!*265)</f>
        <v>313.56343185776888</v>
      </c>
      <c r="AC4" s="14">
        <f>(#REF!)+(#REF!*28)+(#REF!*265)</f>
        <v>311.17967033619504</v>
      </c>
      <c r="AD4" s="14">
        <f>(#REF!)+(#REF!*28)+(#REF!*265)</f>
        <v>322.18169335898665</v>
      </c>
      <c r="AE4" s="14">
        <f>(#REF!)+(#REF!*28)+(#REF!*265)</f>
        <v>274.53367827844085</v>
      </c>
      <c r="AF4" s="14">
        <f>(#REF!)+(#REF!*28)+(#REF!*265)</f>
        <v>301.03597305055752</v>
      </c>
      <c r="AG4" s="14">
        <f>(#REF!)+(#REF!*28)+(#REF!*265)</f>
        <v>294.36593093369117</v>
      </c>
      <c r="AH4" s="14">
        <f>(#REF!)+(#REF!*28)+(#REF!*265)</f>
        <v>308.27802302770522</v>
      </c>
      <c r="AI4" s="14">
        <f>(#REF!)+(#REF!*28)+(#REF!*265)</f>
        <v>287.15441411110845</v>
      </c>
      <c r="AJ4" s="14">
        <f>(#REF!)+(#REF!*28)+(#REF!*265)</f>
        <v>209.96631845534765</v>
      </c>
      <c r="AK4" s="14">
        <f>(#REF!)+(#REF!*28)+(#REF!*265)</f>
        <v>292.12919469331598</v>
      </c>
      <c r="AL4" s="15">
        <f t="shared" si="2"/>
        <v>5.5485471987964143E-3</v>
      </c>
      <c r="AM4" s="15">
        <f t="shared" si="3"/>
        <v>5.2956699702232457E-3</v>
      </c>
      <c r="AN4" s="15">
        <f t="shared" si="4"/>
        <v>0.7320005201106059</v>
      </c>
      <c r="AO4" s="10"/>
      <c r="AP4" s="16">
        <f t="shared" si="5"/>
        <v>0.39131455388851544</v>
      </c>
      <c r="AQ4" s="17">
        <f t="shared" si="6"/>
        <v>82.162876237968334</v>
      </c>
      <c r="AS4" s="17">
        <f>AQ4/1000</f>
        <v>8.2162876237968335E-2</v>
      </c>
      <c r="AU4" s="18">
        <f t="shared" si="7"/>
        <v>-0.29068642124699384</v>
      </c>
      <c r="AW4" s="18">
        <f t="shared" si="8"/>
        <v>-9.3278107617943001E-2</v>
      </c>
    </row>
    <row r="5" spans="1:57" outlineLevel="1" x14ac:dyDescent="0.25">
      <c r="A5" s="13" t="s">
        <v>12</v>
      </c>
      <c r="B5" s="14">
        <f>(#REF!)+(#REF!*28)+(#REF!*265)</f>
        <v>100.50155313962706</v>
      </c>
      <c r="C5" s="14">
        <f>(#REF!)+(#REF!*28)+(#REF!*265)</f>
        <v>76.521798318537421</v>
      </c>
      <c r="D5" s="14">
        <f>(#REF!)+(#REF!*28)+(#REF!*265)</f>
        <v>65.248696718657953</v>
      </c>
      <c r="E5" s="14">
        <f>(#REF!)+(#REF!*28)+(#REF!*265)</f>
        <v>62.580921497495737</v>
      </c>
      <c r="F5" s="14">
        <f>(#REF!)+(#REF!*28)+(#REF!*265)</f>
        <v>72.124547859586968</v>
      </c>
      <c r="G5" s="14">
        <f>(#REF!)+(#REF!*28)+(#REF!*265)</f>
        <v>69.416055852539159</v>
      </c>
      <c r="H5" s="14">
        <f>(#REF!)+(#REF!*28)+(#REF!*265)</f>
        <v>72.192983164692251</v>
      </c>
      <c r="I5" s="14">
        <f>(#REF!)+(#REF!*28)+(#REF!*265)</f>
        <v>51.630718857133267</v>
      </c>
      <c r="J5" s="14">
        <f>(#REF!)+(#REF!*28)+(#REF!*265)</f>
        <v>79.925701143911269</v>
      </c>
      <c r="K5" s="14">
        <f>(#REF!)+(#REF!*28)+(#REF!*265)</f>
        <v>77.909665302192224</v>
      </c>
      <c r="L5" s="14">
        <f>(#REF!)+(#REF!*28)+(#REF!*265)</f>
        <v>87.117956156431376</v>
      </c>
      <c r="M5" s="14">
        <f>(#REF!)+(#REF!*28)+(#REF!*265)</f>
        <v>118.79933728930295</v>
      </c>
      <c r="N5" s="14">
        <f>(#REF!)+(#REF!*28)+(#REF!*265)</f>
        <v>145.54644121649875</v>
      </c>
      <c r="O5" s="14">
        <f>(#REF!)+(#REF!*28)+(#REF!*265)</f>
        <v>165.9685384656606</v>
      </c>
      <c r="P5" s="14">
        <f>(#REF!)+(#REF!*28)+(#REF!*265)</f>
        <v>162.18222796494013</v>
      </c>
      <c r="Q5" s="14">
        <f>(#REF!)+(#REF!*28)+(#REF!*265)</f>
        <v>171.37952560519153</v>
      </c>
      <c r="R5" s="14">
        <f>(#REF!)+(#REF!*28)+(#REF!*265)</f>
        <v>171.94943699097061</v>
      </c>
      <c r="S5" s="14">
        <f>(#REF!)+(#REF!*28)+(#REF!*265)</f>
        <v>165.75513340150437</v>
      </c>
      <c r="T5" s="14">
        <f>(#REF!)+(#REF!*28)+(#REF!*265)</f>
        <v>183.80270796582985</v>
      </c>
      <c r="U5" s="14">
        <f>(#REF!)+(#REF!*28)+(#REF!*265)</f>
        <v>191.44545551058644</v>
      </c>
      <c r="V5" s="14">
        <f>(#REF!)+(#REF!*28)+(#REF!*265)</f>
        <v>173.26072021148292</v>
      </c>
      <c r="W5" s="14">
        <f>(#REF!)+(#REF!*28)+(#REF!*265)</f>
        <v>135.7376892308335</v>
      </c>
      <c r="X5" s="14">
        <f>(#REF!)+(#REF!*28)+(#REF!*265)</f>
        <v>145.34753023201407</v>
      </c>
      <c r="Y5" s="14">
        <f>(#REF!)+(#REF!*28)+(#REF!*265)</f>
        <v>161.12487499621517</v>
      </c>
      <c r="Z5" s="14">
        <f>(#REF!)+(#REF!*28)+(#REF!*265)</f>
        <v>133.61586605722161</v>
      </c>
      <c r="AA5" s="14">
        <f>(#REF!)+(#REF!*28)+(#REF!*265)</f>
        <v>114.49734702095756</v>
      </c>
      <c r="AB5" s="14">
        <f>(#REF!)+(#REF!*28)+(#REF!*265)</f>
        <v>125.36582244352191</v>
      </c>
      <c r="AC5" s="14">
        <f>(#REF!)+(#REF!*28)+(#REF!*265)</f>
        <v>129.14909739716853</v>
      </c>
      <c r="AD5" s="14">
        <f>(#REF!)+(#REF!*28)+(#REF!*265)</f>
        <v>118.48681971939173</v>
      </c>
      <c r="AE5" s="14">
        <f>(#REF!)+(#REF!*28)+(#REF!*265)</f>
        <v>107.21842610219521</v>
      </c>
      <c r="AF5" s="14">
        <f>(#REF!)+(#REF!*28)+(#REF!*265)</f>
        <v>91.83296641329737</v>
      </c>
      <c r="AG5" s="14">
        <f>(#REF!)+(#REF!*28)+(#REF!*265)</f>
        <v>80.784641335206075</v>
      </c>
      <c r="AH5" s="14">
        <f>(#REF!)+(#REF!*28)+(#REF!*265)</f>
        <v>66.926021639665521</v>
      </c>
      <c r="AI5" s="14">
        <f>(#REF!)+(#REF!*28)+(#REF!*265)</f>
        <v>33.638421949713361</v>
      </c>
      <c r="AJ5" s="14">
        <f>(#REF!)+(#REF!*28)+(#REF!*265)</f>
        <v>4.4549412655719065</v>
      </c>
      <c r="AK5" s="14">
        <f>(#REF!)+(#REF!*28)+(#REF!*265)</f>
        <v>5.2675978259789495</v>
      </c>
      <c r="AL5" s="15">
        <f t="shared" si="2"/>
        <v>1.0004996314183971E-4</v>
      </c>
      <c r="AM5" s="15">
        <f t="shared" si="3"/>
        <v>9.5490146582354702E-5</v>
      </c>
      <c r="AN5" s="15">
        <f t="shared" si="4"/>
        <v>-0.94758690128240441</v>
      </c>
      <c r="AO5" s="10"/>
      <c r="AP5" s="16">
        <f t="shared" si="5"/>
        <v>0.18241689664627209</v>
      </c>
      <c r="AQ5" s="17">
        <f t="shared" si="6"/>
        <v>0.81265656040704304</v>
      </c>
      <c r="AS5" s="17">
        <f t="shared" si="9"/>
        <v>8.1265656040704307E-4</v>
      </c>
      <c r="AU5" s="18">
        <f t="shared" si="7"/>
        <v>-0.96926355229787509</v>
      </c>
      <c r="AW5" s="18">
        <f t="shared" si="8"/>
        <v>-0.95554275286944135</v>
      </c>
    </row>
    <row r="6" spans="1:57" ht="13.5" customHeight="1" outlineLevel="1" x14ac:dyDescent="0.25">
      <c r="A6" s="13" t="s">
        <v>13</v>
      </c>
      <c r="B6" s="14">
        <f>(#REF!+#REF!+#REF!)*28+(#REF!)+#REF!+(#REF!)*265</f>
        <v>99.290162309600177</v>
      </c>
      <c r="C6" s="14">
        <f>(#REF!+#REF!+#REF!)*28+(#REF!)+#REF!+(#REF!)*265</f>
        <v>88.30804556053198</v>
      </c>
      <c r="D6" s="14">
        <f>(#REF!+#REF!+#REF!)*28+(#REF!)+#REF!+(#REF!)*265</f>
        <v>83.224456927963587</v>
      </c>
      <c r="E6" s="14">
        <f>(#REF!+#REF!+#REF!)*28+(#REF!)+#REF!+(#REF!)*265</f>
        <v>84.79520850359529</v>
      </c>
      <c r="F6" s="14">
        <f>(#REF!+#REF!+#REF!)*28+(#REF!)+#REF!+(#REF!)*265</f>
        <v>82.92090005832415</v>
      </c>
      <c r="G6" s="14">
        <f>(#REF!+#REF!+#REF!)*28+(#REF!)+#REF!+(#REF!)*265</f>
        <v>82.066652828314162</v>
      </c>
      <c r="H6" s="14">
        <f>(#REF!+#REF!+#REF!)*28+(#REF!)+#REF!+(#REF!)*265</f>
        <v>79.475588501616272</v>
      </c>
      <c r="I6" s="14">
        <f>(#REF!+#REF!+#REF!)*28+(#REF!)+#REF!+(#REF!)*265</f>
        <v>76.102769122644148</v>
      </c>
      <c r="J6" s="14">
        <f>(#REF!+#REF!+#REF!)*28+(#REF!)+#REF!+(#REF!)*265</f>
        <v>61.124745558104451</v>
      </c>
      <c r="K6" s="14">
        <f>(#REF!+#REF!+#REF!)*28+(#REF!)+#REF!+(#REF!)*265</f>
        <v>98.913749939294988</v>
      </c>
      <c r="L6" s="14">
        <f>(#REF!+#REF!+#REF!)*28+(#REF!)+#REF!+(#REF!)*265</f>
        <v>59.524046731063578</v>
      </c>
      <c r="M6" s="14">
        <f>(#REF!+#REF!+#REF!)*28+(#REF!)+#REF!+(#REF!)*265</f>
        <v>129.26790740127467</v>
      </c>
      <c r="N6" s="14">
        <f>(#REF!+#REF!+#REF!)*28+(#REF!)+#REF!+(#REF!)*265</f>
        <v>47.232254723620571</v>
      </c>
      <c r="O6" s="14">
        <f>(#REF!+#REF!+#REF!)*28+(#REF!)+#REF!+(#REF!)*265</f>
        <v>794.9511163532236</v>
      </c>
      <c r="P6" s="14">
        <f>(#REF!+#REF!+#REF!)*28+(#REF!)+#REF!+(#REF!)*265</f>
        <v>53.107251298374649</v>
      </c>
      <c r="Q6" s="14">
        <f>(#REF!+#REF!+#REF!)*28+(#REF!)+#REF!+(#REF!)*265</f>
        <v>45.158845818261014</v>
      </c>
      <c r="R6" s="14">
        <f>(#REF!+#REF!+#REF!)*28+(#REF!)+#REF!+(#REF!)*265</f>
        <v>53.803041931486064</v>
      </c>
      <c r="S6" s="14">
        <f>(#REF!+#REF!+#REF!)*28+(#REF!)+#REF!+(#REF!)*265</f>
        <v>59.434002145769263</v>
      </c>
      <c r="T6" s="14">
        <f>(#REF!+#REF!+#REF!)*28+(#REF!)+#REF!+(#REF!)*265</f>
        <v>50.407538735906748</v>
      </c>
      <c r="U6" s="14">
        <f>(#REF!+#REF!+#REF!)*28+(#REF!)+#REF!+(#REF!)*265</f>
        <v>47.060824884864267</v>
      </c>
      <c r="V6" s="14">
        <f>(#REF!+#REF!+#REF!)*28+(#REF!)+#REF!+(#REF!)*265</f>
        <v>48.555754508440899</v>
      </c>
      <c r="W6" s="14">
        <f>(#REF!+#REF!+#REF!)*28+(#REF!)+#REF!+(#REF!)*265</f>
        <v>46.389632347206323</v>
      </c>
      <c r="X6" s="14">
        <f>(#REF!+#REF!+#REF!)*28+(#REF!)+#REF!+(#REF!)*265</f>
        <v>45.593472378675465</v>
      </c>
      <c r="Y6" s="14">
        <f>(#REF!+#REF!+#REF!)*28+(#REF!)+#REF!+(#REF!)*265</f>
        <v>44.813043493818348</v>
      </c>
      <c r="Z6" s="14">
        <f>(#REF!+#REF!+#REF!)*28+(#REF!)+#REF!+(#REF!)*265</f>
        <v>91.292618237028904</v>
      </c>
      <c r="AA6" s="14">
        <f>(#REF!+#REF!+#REF!)*28+(#REF!)+#REF!+(#REF!)*265</f>
        <v>44.885822880235153</v>
      </c>
      <c r="AB6" s="14">
        <f>(#REF!+#REF!+#REF!)*28+(#REF!)+#REF!+(#REF!)*265</f>
        <v>45.536060749810893</v>
      </c>
      <c r="AC6" s="14">
        <f>(#REF!+#REF!+#REF!)*28+(#REF!)+#REF!+(#REF!)*265</f>
        <v>50.258885907219302</v>
      </c>
      <c r="AD6" s="14">
        <f>(#REF!+#REF!+#REF!)*28+(#REF!)+#REF!+(#REF!)*265</f>
        <v>50.633025072803633</v>
      </c>
      <c r="AE6" s="14">
        <f>(#REF!+#REF!+#REF!)*28+(#REF!)+#REF!+(#REF!)*265</f>
        <v>44.676813800093221</v>
      </c>
      <c r="AF6" s="14">
        <f>(#REF!+#REF!+#REF!)*28+(#REF!)+#REF!+(#REF!)*265</f>
        <v>45.06519759626606</v>
      </c>
      <c r="AG6" s="14">
        <f>(#REF!+#REF!+#REF!)*28+(#REF!)+#REF!+(#REF!)*265</f>
        <v>34.019343768111703</v>
      </c>
      <c r="AH6" s="14">
        <f>(#REF!+#REF!+#REF!)*28+(#REF!)+#REF!+(#REF!)*265</f>
        <v>31.801407998694344</v>
      </c>
      <c r="AI6" s="14">
        <f>(#REF!+#REF!+#REF!)*28+(#REF!)+#REF!+(#REF!)*265</f>
        <v>31.274603475192059</v>
      </c>
      <c r="AJ6" s="14">
        <f>(#REF!+#REF!+#REF!)*28+(#REF!)+#REF!+(#REF!)*265</f>
        <v>39.721909422757939</v>
      </c>
      <c r="AK6" s="14">
        <f>(#REF!+#REF!+#REF!)*28+(#REF!)+#REF!+(#REF!)*265</f>
        <v>34.462368281093688</v>
      </c>
      <c r="AL6" s="15">
        <f t="shared" si="2"/>
        <v>6.5455997025800814E-4</v>
      </c>
      <c r="AM6" s="15">
        <f t="shared" si="3"/>
        <v>6.2472814126145822E-4</v>
      </c>
      <c r="AN6" s="15">
        <f t="shared" si="4"/>
        <v>-0.65291255971930673</v>
      </c>
      <c r="AO6" s="10"/>
      <c r="AP6" s="16">
        <f t="shared" si="5"/>
        <v>-0.1324090714191824</v>
      </c>
      <c r="AQ6" s="17">
        <f t="shared" si="6"/>
        <v>-5.2595411416642506</v>
      </c>
      <c r="AS6" s="17">
        <f t="shared" si="9"/>
        <v>-5.2595411416642502E-3</v>
      </c>
      <c r="AU6" s="18">
        <f t="shared" si="7"/>
        <v>-0.23686339505253609</v>
      </c>
      <c r="AW6" s="18">
        <f t="shared" si="8"/>
        <v>-0.31936975459117178</v>
      </c>
    </row>
    <row r="7" spans="1:57" x14ac:dyDescent="0.25">
      <c r="A7" s="20" t="s">
        <v>14</v>
      </c>
      <c r="B7" s="8">
        <f>#REF!</f>
        <v>7569.7124798227551</v>
      </c>
      <c r="C7" s="8">
        <f>#REF!</f>
        <v>7474.0514044750162</v>
      </c>
      <c r="D7" s="8">
        <f>#REF!</f>
        <v>6677.7297275480641</v>
      </c>
      <c r="E7" s="8">
        <f>#REF!</f>
        <v>6676.3113380345594</v>
      </c>
      <c r="F7" s="8">
        <f>#REF!</f>
        <v>6579.3245874862178</v>
      </c>
      <c r="G7" s="8">
        <f>#REF!</f>
        <v>6407.1463332892217</v>
      </c>
      <c r="H7" s="8">
        <f>#REF!</f>
        <v>6768.3804271259223</v>
      </c>
      <c r="I7" s="8">
        <f>#REF!</f>
        <v>6517.5882400729042</v>
      </c>
      <c r="J7" s="8">
        <f>#REF!</f>
        <v>7096.3923746662886</v>
      </c>
      <c r="K7" s="8">
        <f>#REF!</f>
        <v>6840.9270729627233</v>
      </c>
      <c r="L7" s="8">
        <f>#REF!</f>
        <v>6943.6446449057967</v>
      </c>
      <c r="M7" s="8">
        <f>#REF!</f>
        <v>7299.7801866056707</v>
      </c>
      <c r="N7" s="8">
        <f>#REF!</f>
        <v>7316.6648236510082</v>
      </c>
      <c r="O7" s="8">
        <f>#REF!</f>
        <v>7556.498080075311</v>
      </c>
      <c r="P7" s="8">
        <f>#REF!</f>
        <v>7724.5242980131015</v>
      </c>
      <c r="Q7" s="8">
        <f>#REF!</f>
        <v>8164.2594411342361</v>
      </c>
      <c r="R7" s="8">
        <f>#REF!</f>
        <v>8043.0575101418772</v>
      </c>
      <c r="S7" s="8">
        <f>#REF!</f>
        <v>7882.2340853204023</v>
      </c>
      <c r="T7" s="8">
        <f>#REF!</f>
        <v>8668.4881409021655</v>
      </c>
      <c r="U7" s="8">
        <f>#REF!</f>
        <v>8544.9632131553935</v>
      </c>
      <c r="V7" s="8">
        <f>#REF!</f>
        <v>8859.0804092545568</v>
      </c>
      <c r="W7" s="8">
        <f>#REF!</f>
        <v>7629.7194176636076</v>
      </c>
      <c r="X7" s="8">
        <f>#REF!</f>
        <v>7147.388466027287</v>
      </c>
      <c r="Y7" s="8">
        <f>#REF!</f>
        <v>6939.97722702997</v>
      </c>
      <c r="Z7" s="8">
        <f>#REF!</f>
        <v>6245.7821397262342</v>
      </c>
      <c r="AA7" s="8">
        <f>#REF!</f>
        <v>6641.2571316932199</v>
      </c>
      <c r="AB7" s="8">
        <f>#REF!</f>
        <v>6889.0510079993564</v>
      </c>
      <c r="AC7" s="8">
        <f>#REF!</f>
        <v>6331.1002822400478</v>
      </c>
      <c r="AD7" s="8">
        <f>#REF!</f>
        <v>6823.5957184152885</v>
      </c>
      <c r="AE7" s="8">
        <f>#REF!</f>
        <v>6546.4494481728379</v>
      </c>
      <c r="AF7" s="8">
        <f>#REF!</f>
        <v>7192.2701968693018</v>
      </c>
      <c r="AG7" s="8">
        <f>#REF!</f>
        <v>6709.3212480257052</v>
      </c>
      <c r="AH7" s="8">
        <f>#REF!</f>
        <v>5621.4616126785768</v>
      </c>
      <c r="AI7" s="8">
        <f>#REF!</f>
        <v>5230.0164671887314</v>
      </c>
      <c r="AJ7" s="8">
        <f>#REF!</f>
        <v>5485.8889892812058</v>
      </c>
      <c r="AK7" s="8">
        <f>#REF!</f>
        <v>5211.7931715401201</v>
      </c>
      <c r="AL7" s="9">
        <f t="shared" si="2"/>
        <v>9.8990039092169052E-2</v>
      </c>
      <c r="AM7" s="9">
        <f t="shared" si="3"/>
        <v>9.4478528989595301E-2</v>
      </c>
      <c r="AN7" s="9">
        <f t="shared" si="4"/>
        <v>-0.31149390608530031</v>
      </c>
      <c r="AO7" s="10"/>
      <c r="AP7" s="11">
        <f t="shared" si="5"/>
        <v>-4.996379224527462E-2</v>
      </c>
      <c r="AQ7" s="12">
        <f t="shared" si="6"/>
        <v>-274.09581774108574</v>
      </c>
      <c r="AS7" s="12">
        <f>AQ7/1000</f>
        <v>-0.27409581774108571</v>
      </c>
      <c r="AU7" s="9">
        <f t="shared" si="7"/>
        <v>-0.36163307779253262</v>
      </c>
      <c r="AW7" s="9">
        <f t="shared" si="8"/>
        <v>-0.2362101468768571</v>
      </c>
    </row>
    <row r="8" spans="1:57" x14ac:dyDescent="0.25">
      <c r="A8" s="20" t="s">
        <v>15</v>
      </c>
      <c r="B8" s="8">
        <f>#REF!+#REF!</f>
        <v>4093.5373960846191</v>
      </c>
      <c r="C8" s="8">
        <f>#REF!+#REF!</f>
        <v>4390.2661752826825</v>
      </c>
      <c r="D8" s="8">
        <f>#REF!+#REF!</f>
        <v>4068.9024982744181</v>
      </c>
      <c r="E8" s="8">
        <f>#REF!+#REF!</f>
        <v>4276.3611882099631</v>
      </c>
      <c r="F8" s="8">
        <f>#REF!+#REF!</f>
        <v>4544.7410305683798</v>
      </c>
      <c r="G8" s="8">
        <f>#REF!+#REF!</f>
        <v>4567.6209369101471</v>
      </c>
      <c r="H8" s="8">
        <f>#REF!+#REF!</f>
        <v>4410.5548738409234</v>
      </c>
      <c r="I8" s="8">
        <f>#REF!+#REF!</f>
        <v>4761.1518830549567</v>
      </c>
      <c r="J8" s="8">
        <f>#REF!+#REF!</f>
        <v>4740.5683505815678</v>
      </c>
      <c r="K8" s="8">
        <f>#REF!+#REF!</f>
        <v>4922.6505470164248</v>
      </c>
      <c r="L8" s="8">
        <f>#REF!+#REF!</f>
        <v>5706.0346076375372</v>
      </c>
      <c r="M8" s="8">
        <f>#REF!+#REF!</f>
        <v>5678.8909288540326</v>
      </c>
      <c r="N8" s="8">
        <f>#REF!+#REF!</f>
        <v>5345.234219032106</v>
      </c>
      <c r="O8" s="8">
        <f>#REF!+#REF!</f>
        <v>5459.8276375754558</v>
      </c>
      <c r="P8" s="8">
        <f>#REF!+#REF!</f>
        <v>5524.2452660336039</v>
      </c>
      <c r="Q8" s="8">
        <f>#REF!+#REF!</f>
        <v>5652.9192042348277</v>
      </c>
      <c r="R8" s="8">
        <f>#REF!+#REF!</f>
        <v>5450.900864787136</v>
      </c>
      <c r="S8" s="8">
        <f>#REF!+#REF!</f>
        <v>5525.6226729565014</v>
      </c>
      <c r="T8" s="8">
        <f>#REF!+#REF!</f>
        <v>5352.3425940252482</v>
      </c>
      <c r="U8" s="8">
        <f>#REF!+#REF!</f>
        <v>4330.9930654254958</v>
      </c>
      <c r="V8" s="8">
        <f>#REF!+#REF!</f>
        <v>4272.9798997267435</v>
      </c>
      <c r="W8" s="8">
        <f>#REF!+#REF!</f>
        <v>3843.9909755188937</v>
      </c>
      <c r="X8" s="8">
        <f>#REF!+#REF!</f>
        <v>3924.9476373301859</v>
      </c>
      <c r="Y8" s="8">
        <f>#REF!+#REF!</f>
        <v>4149.7139661441261</v>
      </c>
      <c r="Z8" s="8">
        <f>#REF!+#REF!</f>
        <v>4211.6279635591736</v>
      </c>
      <c r="AA8" s="8">
        <f>#REF!+#REF!</f>
        <v>4320.706141419867</v>
      </c>
      <c r="AB8" s="8">
        <f>#REF!+#REF!</f>
        <v>4406.7527533536913</v>
      </c>
      <c r="AC8" s="8">
        <f>#REF!+#REF!</f>
        <v>4636.1769070251567</v>
      </c>
      <c r="AD8" s="8">
        <f>#REF!+#REF!</f>
        <v>4837.1599631103463</v>
      </c>
      <c r="AE8" s="8">
        <f>#REF!+#REF!</f>
        <v>4763.1462956701844</v>
      </c>
      <c r="AF8" s="8">
        <f>#REF!+#REF!</f>
        <v>4794.1880787963883</v>
      </c>
      <c r="AG8" s="8">
        <f>#REF!+#REF!</f>
        <v>4786.3072277340525</v>
      </c>
      <c r="AH8" s="8">
        <f>#REF!+#REF!</f>
        <v>4530.9243518203275</v>
      </c>
      <c r="AI8" s="8">
        <f>#REF!+#REF!</f>
        <v>4324.6568372401462</v>
      </c>
      <c r="AJ8" s="8">
        <f>#REF!+#REF!</f>
        <v>4331.753387239256</v>
      </c>
      <c r="AK8" s="8">
        <f>#REF!+#REF!</f>
        <v>4161.5709865235713</v>
      </c>
      <c r="AL8" s="9">
        <f t="shared" si="2"/>
        <v>7.9042675156479711E-2</v>
      </c>
      <c r="AM8" s="9">
        <f t="shared" si="3"/>
        <v>7.5440274038414856E-2</v>
      </c>
      <c r="AN8" s="9">
        <f t="shared" si="4"/>
        <v>1.6619755447702722E-2</v>
      </c>
      <c r="AO8" s="10"/>
      <c r="AP8" s="11">
        <f t="shared" si="5"/>
        <v>-3.9287185927301037E-2</v>
      </c>
      <c r="AQ8" s="12">
        <f t="shared" si="6"/>
        <v>-170.18240071568471</v>
      </c>
      <c r="AS8" s="12">
        <f t="shared" si="9"/>
        <v>-0.17018240071568472</v>
      </c>
      <c r="AU8" s="9">
        <f t="shared" si="7"/>
        <v>-0.26381912845915573</v>
      </c>
      <c r="AW8" s="9">
        <f t="shared" si="8"/>
        <v>-0.13966645340220751</v>
      </c>
    </row>
    <row r="9" spans="1:57" x14ac:dyDescent="0.25">
      <c r="A9" s="20" t="s">
        <v>16</v>
      </c>
      <c r="B9" s="8">
        <f>#REF!+(#REF!*28)+(#REF!*265)</f>
        <v>1009.6756971444248</v>
      </c>
      <c r="C9" s="8">
        <f>#REF!+(#REF!*28)+(#REF!*265)</f>
        <v>1028.1453889225793</v>
      </c>
      <c r="D9" s="8">
        <f>#REF!+(#REF!*28)+(#REF!*265)</f>
        <v>1022.4598932800901</v>
      </c>
      <c r="E9" s="8">
        <f>#REF!+(#REF!*28)+(#REF!*265)</f>
        <v>1010.1610259474754</v>
      </c>
      <c r="F9" s="8">
        <f>#REF!+(#REF!*28)+(#REF!*265)</f>
        <v>1101.6563749788943</v>
      </c>
      <c r="G9" s="8">
        <f>#REF!+(#REF!*28)+(#REF!*265)</f>
        <v>1080.3861575994138</v>
      </c>
      <c r="H9" s="8">
        <f>#REF!+(#REF!*28)+(#REF!*265)</f>
        <v>975.88793579256696</v>
      </c>
      <c r="I9" s="8">
        <f>#REF!+(#REF!*28)+(#REF!*265)</f>
        <v>984.03645698064906</v>
      </c>
      <c r="J9" s="8">
        <f>#REF!+(#REF!*28)+(#REF!*265)</f>
        <v>970.80526341945574</v>
      </c>
      <c r="K9" s="8">
        <f>#REF!+(#REF!*28)+(#REF!*265)</f>
        <v>1004.1844922672158</v>
      </c>
      <c r="L9" s="8">
        <f>#REF!+(#REF!*28)+(#REF!*265)</f>
        <v>1030.0912977928751</v>
      </c>
      <c r="M9" s="8">
        <f>#REF!+(#REF!*28)+(#REF!*265)</f>
        <v>1020.4485506437919</v>
      </c>
      <c r="N9" s="8">
        <f>#REF!+(#REF!*28)+(#REF!*265)</f>
        <v>986.75159967082038</v>
      </c>
      <c r="O9" s="8">
        <f>#REF!+(#REF!*28)+(#REF!*265)</f>
        <v>1084.8920482063729</v>
      </c>
      <c r="P9" s="8">
        <f>#REF!+(#REF!*28)+(#REF!*265)</f>
        <v>1052.7720089768072</v>
      </c>
      <c r="Q9" s="8">
        <f>#REF!+(#REF!*28)+(#REF!*265)</f>
        <v>1086.2309481197588</v>
      </c>
      <c r="R9" s="8">
        <f>#REF!+(#REF!*28)+(#REF!*265)</f>
        <v>1080.5986164769949</v>
      </c>
      <c r="S9" s="8">
        <f>#REF!+(#REF!*28)+(#REF!*265)</f>
        <v>1078.8491031708149</v>
      </c>
      <c r="T9" s="8">
        <f>#REF!+(#REF!*28)+(#REF!*265)</f>
        <v>1126.4374673820369</v>
      </c>
      <c r="U9" s="8">
        <f>#REF!+(#REF!*28)+(#REF!*265)</f>
        <v>891.99000363457378</v>
      </c>
      <c r="V9" s="8">
        <f>#REF!+(#REF!*28)+(#REF!*265)</f>
        <v>982.25936630354238</v>
      </c>
      <c r="W9" s="8">
        <f>#REF!+(#REF!*28)+(#REF!*265)</f>
        <v>898.93502737574067</v>
      </c>
      <c r="X9" s="8">
        <f>#REF!+(#REF!*28)+(#REF!*265)</f>
        <v>931.58463070840548</v>
      </c>
      <c r="Y9" s="8">
        <f>#REF!+(#REF!*28)+(#REF!*265)</f>
        <v>931.55148486663552</v>
      </c>
      <c r="Z9" s="8">
        <f>#REF!+(#REF!*28)+(#REF!*265)</f>
        <v>864.46357641129566</v>
      </c>
      <c r="AA9" s="8">
        <f>#REF!+(#REF!*28)+(#REF!*265)</f>
        <v>925.87527838334097</v>
      </c>
      <c r="AB9" s="8">
        <f>#REF!+(#REF!*28)+(#REF!*265)</f>
        <v>857.04580088734588</v>
      </c>
      <c r="AC9" s="8">
        <f>#REF!+(#REF!*28)+(#REF!*265)</f>
        <v>785.65500671807263</v>
      </c>
      <c r="AD9" s="8">
        <f>#REF!+(#REF!*28)+(#REF!*265)</f>
        <v>853.46547347410728</v>
      </c>
      <c r="AE9" s="8">
        <f>#REF!+(#REF!*28)+(#REF!*265)</f>
        <v>805.38696359395919</v>
      </c>
      <c r="AF9" s="8">
        <f>#REF!+(#REF!*28)+(#REF!*265)</f>
        <v>663.10327524697652</v>
      </c>
      <c r="AG9" s="8">
        <f>#REF!+(#REF!*28)+(#REF!*265)</f>
        <v>718.74908464701662</v>
      </c>
      <c r="AH9" s="8">
        <f>#REF!+(#REF!*28)+(#REF!*265)</f>
        <v>690.72072731145727</v>
      </c>
      <c r="AI9" s="8">
        <f>#REF!+(#REF!*28)+(#REF!*265)</f>
        <v>687.87744863098408</v>
      </c>
      <c r="AJ9" s="8">
        <f>#REF!+(#REF!*28)+(#REF!*265)</f>
        <v>742.0728381079474</v>
      </c>
      <c r="AK9" s="8">
        <f>#REF!+(#REF!*28)+(#REF!*265)</f>
        <v>712.11390858710001</v>
      </c>
      <c r="AL9" s="9">
        <f t="shared" si="2"/>
        <v>1.3525514411056993E-2</v>
      </c>
      <c r="AM9" s="9">
        <f t="shared" si="3"/>
        <v>1.290908375330996E-2</v>
      </c>
      <c r="AN9" s="9">
        <f t="shared" si="4"/>
        <v>-0.29471026132340522</v>
      </c>
      <c r="AO9" s="10"/>
      <c r="AP9" s="11">
        <f t="shared" si="5"/>
        <v>-4.0371952701076151E-2</v>
      </c>
      <c r="AQ9" s="12">
        <f t="shared" si="6"/>
        <v>-29.958929520847391</v>
      </c>
      <c r="AS9" s="12">
        <f t="shared" si="9"/>
        <v>-2.9958929520847392E-2</v>
      </c>
      <c r="AU9" s="9">
        <f t="shared" si="7"/>
        <v>-0.34441758465844385</v>
      </c>
      <c r="AW9" s="9">
        <f t="shared" si="8"/>
        <v>-0.16562071844760529</v>
      </c>
    </row>
    <row r="10" spans="1:57" x14ac:dyDescent="0.25">
      <c r="A10" s="20" t="s">
        <v>17</v>
      </c>
      <c r="B10" s="8">
        <f>#REF!+(#REF!*28)+(#REF!*265)</f>
        <v>1123.0310909969073</v>
      </c>
      <c r="C10" s="8">
        <f>#REF!+(#REF!*28)+(#REF!*265)</f>
        <v>1095.8224261072294</v>
      </c>
      <c r="D10" s="8">
        <f>#REF!+(#REF!*28)+(#REF!*265)</f>
        <v>1000.6883477082063</v>
      </c>
      <c r="E10" s="8">
        <f>#REF!+(#REF!*28)+(#REF!*265)</f>
        <v>972.87066351775854</v>
      </c>
      <c r="F10" s="8">
        <f>#REF!+(#REF!*28)+(#REF!*265)</f>
        <v>978.15194948481633</v>
      </c>
      <c r="G10" s="8">
        <f>#REF!+(#REF!*28)+(#REF!*265)</f>
        <v>907.90664116874905</v>
      </c>
      <c r="H10" s="8">
        <f>#REF!+(#REF!*28)+(#REF!*265)</f>
        <v>868.598526372077</v>
      </c>
      <c r="I10" s="8">
        <f>#REF!+(#REF!*28)+(#REF!*265)</f>
        <v>821.10920498212943</v>
      </c>
      <c r="J10" s="8">
        <f>#REF!+(#REF!*28)+(#REF!*265)</f>
        <v>770.58880806853858</v>
      </c>
      <c r="K10" s="8">
        <f>#REF!+(#REF!*28)+(#REF!*265)</f>
        <v>796.53161704088768</v>
      </c>
      <c r="L10" s="8">
        <f>#REF!+(#REF!*28)+(#REF!*265)</f>
        <v>842.4515085758037</v>
      </c>
      <c r="M10" s="8">
        <f>#REF!+(#REF!*28)+(#REF!*265)</f>
        <v>809.28949189041646</v>
      </c>
      <c r="N10" s="8">
        <f>#REF!+(#REF!*28)+(#REF!*265)</f>
        <v>751.2861150755532</v>
      </c>
      <c r="O10" s="8">
        <f>#REF!+(#REF!*28)+(#REF!*265)</f>
        <v>709.6425909912889</v>
      </c>
      <c r="P10" s="8">
        <f>#REF!+(#REF!*28)+(#REF!*265)</f>
        <v>660.04458675644912</v>
      </c>
      <c r="Q10" s="8">
        <f>#REF!+(#REF!*28)+(#REF!*265)</f>
        <v>652.46294480390372</v>
      </c>
      <c r="R10" s="8">
        <f>#REF!+(#REF!*28)+(#REF!*265)</f>
        <v>628.45014163405415</v>
      </c>
      <c r="S10" s="8">
        <f>#REF!+(#REF!*28)+(#REF!*265)</f>
        <v>591.83133326778204</v>
      </c>
      <c r="T10" s="8">
        <f>#REF!+(#REF!*28)+(#REF!*265)</f>
        <v>591.12266295214692</v>
      </c>
      <c r="U10" s="8">
        <f>#REF!+(#REF!*28)+(#REF!*265)</f>
        <v>494.04984817162602</v>
      </c>
      <c r="V10" s="8">
        <f>#REF!+(#REF!*28)+(#REF!*265)</f>
        <v>519.87114526083337</v>
      </c>
      <c r="W10" s="8">
        <f>#REF!+(#REF!*28)+(#REF!*265)</f>
        <v>470.63039680007523</v>
      </c>
      <c r="X10" s="8">
        <f>#REF!+(#REF!*28)+(#REF!*265)</f>
        <v>505.31314848323638</v>
      </c>
      <c r="Y10" s="8">
        <f>#REF!+(#REF!*28)+(#REF!*265)</f>
        <v>574.69308205465143</v>
      </c>
      <c r="Z10" s="8">
        <f>#REF!+(#REF!*28)+(#REF!*265)</f>
        <v>580.32576656888057</v>
      </c>
      <c r="AA10" s="8">
        <f>#REF!+(#REF!*28)+(#REF!*265)</f>
        <v>604.99686446772591</v>
      </c>
      <c r="AB10" s="8">
        <f>#REF!+(#REF!*28)+(#REF!*265)</f>
        <v>627.63472592110838</v>
      </c>
      <c r="AC10" s="8">
        <f>#REF!+(#REF!*28)+(#REF!*265)</f>
        <v>633.14806694644255</v>
      </c>
      <c r="AD10" s="8">
        <f>#REF!+(#REF!*28)+(#REF!*265)</f>
        <v>678.38980513732463</v>
      </c>
      <c r="AE10" s="8">
        <f>#REF!+(#REF!*28)+(#REF!*265)</f>
        <v>704.60776901621239</v>
      </c>
      <c r="AF10" s="8">
        <f>#REF!+(#REF!*28)+(#REF!*265)</f>
        <v>663.52676504506292</v>
      </c>
      <c r="AG10" s="8">
        <f>#REF!+(#REF!*28)+(#REF!*265)</f>
        <v>697.95462510612663</v>
      </c>
      <c r="AH10" s="8">
        <f>#REF!+(#REF!*28)+(#REF!*265)</f>
        <v>689.87751989269123</v>
      </c>
      <c r="AI10" s="8">
        <f>#REF!+(#REF!*28)+(#REF!*265)</f>
        <v>648.87825537559922</v>
      </c>
      <c r="AJ10" s="8">
        <f>#REF!+(#REF!*28)+(#REF!*265)</f>
        <v>700.13519283614482</v>
      </c>
      <c r="AK10" s="8">
        <f>#REF!+(#REF!*28)+(#REF!*265)</f>
        <v>679.39990741638189</v>
      </c>
      <c r="AL10" s="9">
        <f t="shared" si="2"/>
        <v>1.290416199967692E-2</v>
      </c>
      <c r="AM10" s="9">
        <f t="shared" si="3"/>
        <v>1.2316049723323692E-2</v>
      </c>
      <c r="AN10" s="9">
        <f t="shared" si="4"/>
        <v>-0.39503018851126992</v>
      </c>
      <c r="AO10" s="10"/>
      <c r="AP10" s="11">
        <f t="shared" si="5"/>
        <v>-2.9616116475687126E-2</v>
      </c>
      <c r="AQ10" s="12">
        <f t="shared" si="6"/>
        <v>-20.735285419762931</v>
      </c>
      <c r="AS10" s="12">
        <f t="shared" si="9"/>
        <v>-2.0735285419762932E-2</v>
      </c>
      <c r="AU10" s="9">
        <f t="shared" si="7"/>
        <v>4.128504588191443E-2</v>
      </c>
      <c r="AW10" s="9">
        <f t="shared" si="8"/>
        <v>1.4889703108860724E-3</v>
      </c>
    </row>
    <row r="11" spans="1:57" x14ac:dyDescent="0.25">
      <c r="A11" s="20" t="s">
        <v>18</v>
      </c>
      <c r="B11" s="8">
        <f t="shared" ref="B11" si="10">SUM(B12:B16)</f>
        <v>5143.2200176793176</v>
      </c>
      <c r="C11" s="8">
        <f t="shared" ref="C11:AK11" si="11">SUM(C12:C16)</f>
        <v>5322.7832705614946</v>
      </c>
      <c r="D11" s="8">
        <f t="shared" si="11"/>
        <v>5750.6985282709948</v>
      </c>
      <c r="E11" s="8">
        <f t="shared" si="11"/>
        <v>5725.0394143377143</v>
      </c>
      <c r="F11" s="8">
        <f t="shared" si="11"/>
        <v>5973.8913934320872</v>
      </c>
      <c r="G11" s="8">
        <f t="shared" si="11"/>
        <v>6264.1169786522005</v>
      </c>
      <c r="H11" s="8">
        <f t="shared" si="11"/>
        <v>7306.2869975265749</v>
      </c>
      <c r="I11" s="8">
        <f t="shared" si="11"/>
        <v>7679.9390846846409</v>
      </c>
      <c r="J11" s="8">
        <f t="shared" si="11"/>
        <v>9019.9300077280441</v>
      </c>
      <c r="K11" s="8">
        <f t="shared" si="11"/>
        <v>9739.628664271806</v>
      </c>
      <c r="L11" s="8">
        <f t="shared" si="11"/>
        <v>10779.065078575934</v>
      </c>
      <c r="M11" s="8">
        <f t="shared" si="11"/>
        <v>11302.080134697726</v>
      </c>
      <c r="N11" s="8">
        <f t="shared" si="11"/>
        <v>11495.624932787981</v>
      </c>
      <c r="O11" s="8">
        <f t="shared" si="11"/>
        <v>11698.304497723837</v>
      </c>
      <c r="P11" s="8">
        <f t="shared" si="11"/>
        <v>12416.763515431025</v>
      </c>
      <c r="Q11" s="8">
        <f t="shared" si="11"/>
        <v>13126.120385023904</v>
      </c>
      <c r="R11" s="8">
        <f t="shared" si="11"/>
        <v>13806.997258067277</v>
      </c>
      <c r="S11" s="8">
        <f t="shared" si="11"/>
        <v>14395.857780299897</v>
      </c>
      <c r="T11" s="8">
        <f t="shared" si="11"/>
        <v>13667.19863286293</v>
      </c>
      <c r="U11" s="8">
        <f t="shared" si="11"/>
        <v>12448.027911933108</v>
      </c>
      <c r="V11" s="8">
        <f t="shared" si="11"/>
        <v>11533.970222784925</v>
      </c>
      <c r="W11" s="8">
        <f t="shared" si="11"/>
        <v>11225.596111835832</v>
      </c>
      <c r="X11" s="8">
        <f t="shared" si="11"/>
        <v>10838.420605613859</v>
      </c>
      <c r="Y11" s="8">
        <f t="shared" si="11"/>
        <v>11063.135323963486</v>
      </c>
      <c r="Z11" s="8">
        <f t="shared" si="11"/>
        <v>11346.025711165177</v>
      </c>
      <c r="AA11" s="8">
        <f t="shared" si="11"/>
        <v>11839.39412923561</v>
      </c>
      <c r="AB11" s="8">
        <f t="shared" si="11"/>
        <v>12350.368735270726</v>
      </c>
      <c r="AC11" s="8">
        <f t="shared" si="11"/>
        <v>12201.872706653961</v>
      </c>
      <c r="AD11" s="8">
        <f t="shared" si="11"/>
        <v>12396.293255150986</v>
      </c>
      <c r="AE11" s="8">
        <f t="shared" si="11"/>
        <v>12423.79499678319</v>
      </c>
      <c r="AF11" s="8">
        <f t="shared" si="11"/>
        <v>10484.276404310425</v>
      </c>
      <c r="AG11" s="8">
        <f t="shared" si="11"/>
        <v>11193.285968766259</v>
      </c>
      <c r="AH11" s="8">
        <f t="shared" si="11"/>
        <v>11882.761039958945</v>
      </c>
      <c r="AI11" s="8">
        <f t="shared" si="11"/>
        <v>11931.293482415585</v>
      </c>
      <c r="AJ11" s="8">
        <f t="shared" si="11"/>
        <v>11782.170253280794</v>
      </c>
      <c r="AK11" s="8">
        <f t="shared" si="11"/>
        <v>11607.603864902778</v>
      </c>
      <c r="AL11" s="9">
        <f t="shared" si="2"/>
        <v>0.22046867988308719</v>
      </c>
      <c r="AM11" s="9">
        <f t="shared" si="3"/>
        <v>0.2104207327793636</v>
      </c>
      <c r="AN11" s="9">
        <f t="shared" si="4"/>
        <v>1.2568748420255735</v>
      </c>
      <c r="AO11" s="10"/>
      <c r="AP11" s="11">
        <f t="shared" si="5"/>
        <v>-1.481614886097979E-2</v>
      </c>
      <c r="AQ11" s="12">
        <f t="shared" si="6"/>
        <v>-174.5663883780162</v>
      </c>
      <c r="AS11" s="12">
        <f t="shared" si="9"/>
        <v>-0.17456638837801619</v>
      </c>
      <c r="AU11" s="9">
        <f t="shared" si="7"/>
        <v>-0.11568662145241786</v>
      </c>
      <c r="AW11" s="9">
        <f t="shared" si="8"/>
        <v>-6.3623001974439958E-2</v>
      </c>
      <c r="AY11" s="10"/>
      <c r="AZ11" s="10"/>
      <c r="BA11" s="10"/>
      <c r="BB11" s="10"/>
      <c r="BC11" s="10"/>
    </row>
    <row r="12" spans="1:57" outlineLevel="1" x14ac:dyDescent="0.25">
      <c r="A12" s="13" t="s">
        <v>19</v>
      </c>
      <c r="B12" s="14">
        <f>#REF!</f>
        <v>48.354472920142094</v>
      </c>
      <c r="C12" s="14">
        <f>#REF!</f>
        <v>43.849141826628333</v>
      </c>
      <c r="D12" s="14">
        <f>#REF!</f>
        <v>43.464431048474992</v>
      </c>
      <c r="E12" s="14">
        <f>#REF!</f>
        <v>37.386845768097686</v>
      </c>
      <c r="F12" s="14">
        <f>#REF!</f>
        <v>38.857346360882723</v>
      </c>
      <c r="G12" s="14">
        <f>#REF!</f>
        <v>45.691145047268989</v>
      </c>
      <c r="H12" s="14">
        <f>#REF!</f>
        <v>48.890257301984086</v>
      </c>
      <c r="I12" s="14">
        <f>#REF!</f>
        <v>51.362700720787267</v>
      </c>
      <c r="J12" s="14">
        <f>#REF!</f>
        <v>56.781475122252715</v>
      </c>
      <c r="K12" s="14">
        <f>#REF!</f>
        <v>64.304549257424284</v>
      </c>
      <c r="L12" s="14">
        <f>#REF!</f>
        <v>69.577832269903581</v>
      </c>
      <c r="M12" s="14">
        <f>#REF!</f>
        <v>69.127096298745826</v>
      </c>
      <c r="N12" s="14">
        <f>#REF!</f>
        <v>68.511109637673655</v>
      </c>
      <c r="O12" s="14">
        <f>#REF!</f>
        <v>71.108174535359964</v>
      </c>
      <c r="P12" s="14">
        <f>#REF!</f>
        <v>67.865608359739582</v>
      </c>
      <c r="Q12" s="14">
        <f>#REF!</f>
        <v>80.131365898535108</v>
      </c>
      <c r="R12" s="14">
        <f>#REF!</f>
        <v>91.95153907322296</v>
      </c>
      <c r="S12" s="14">
        <f>#REF!</f>
        <v>84.940533301882667</v>
      </c>
      <c r="T12" s="14">
        <f>#REF!</f>
        <v>80.451618871138791</v>
      </c>
      <c r="U12" s="14">
        <f>#REF!</f>
        <v>65.556665584758534</v>
      </c>
      <c r="V12" s="14">
        <f>#REF!</f>
        <v>49.464108653889738</v>
      </c>
      <c r="W12" s="14">
        <f>#REF!</f>
        <v>24.629249539924235</v>
      </c>
      <c r="X12" s="14">
        <f>#REF!</f>
        <v>14.976493967064759</v>
      </c>
      <c r="Y12" s="14">
        <f>#REF!</f>
        <v>15.35659065190403</v>
      </c>
      <c r="Z12" s="14">
        <f>#REF!</f>
        <v>14.677161012236066</v>
      </c>
      <c r="AA12" s="14">
        <f>#REF!</f>
        <v>15.62501212455998</v>
      </c>
      <c r="AB12" s="14">
        <f>#REF!</f>
        <v>16.829723803659721</v>
      </c>
      <c r="AC12" s="14">
        <f>#REF!</f>
        <v>17.538487530654816</v>
      </c>
      <c r="AD12" s="14">
        <f>#REF!</f>
        <v>16.67618004518944</v>
      </c>
      <c r="AE12" s="14">
        <f>#REF!</f>
        <v>17.901813626166231</v>
      </c>
      <c r="AF12" s="14">
        <f>#REF!</f>
        <v>13.593207285429804</v>
      </c>
      <c r="AG12" s="14">
        <f>#REF!</f>
        <v>19.689877865682078</v>
      </c>
      <c r="AH12" s="14">
        <f>#REF!</f>
        <v>21.670990510575979</v>
      </c>
      <c r="AI12" s="14">
        <f>#REF!</f>
        <v>23.213439843608857</v>
      </c>
      <c r="AJ12" s="14">
        <f>#REF!</f>
        <v>26.029797504730144</v>
      </c>
      <c r="AK12" s="14">
        <f>#REF!</f>
        <v>27.944854673901805</v>
      </c>
      <c r="AL12" s="15">
        <f t="shared" si="2"/>
        <v>5.3076976878134127E-4</v>
      </c>
      <c r="AM12" s="15">
        <f t="shared" si="3"/>
        <v>5.0657972707655744E-4</v>
      </c>
      <c r="AN12" s="15">
        <f t="shared" si="4"/>
        <v>-0.42208335679611236</v>
      </c>
      <c r="AO12" s="10"/>
      <c r="AP12" s="16">
        <f t="shared" si="5"/>
        <v>7.357172751050621E-2</v>
      </c>
      <c r="AQ12" s="17">
        <f t="shared" si="6"/>
        <v>1.9150571691716607</v>
      </c>
      <c r="AS12" s="17">
        <f t="shared" si="9"/>
        <v>1.9150571691716608E-3</v>
      </c>
      <c r="AU12" s="18">
        <f t="shared" si="7"/>
        <v>-0.65126197013431086</v>
      </c>
      <c r="AW12" s="18">
        <f t="shared" si="8"/>
        <v>0.67573476648586717</v>
      </c>
    </row>
    <row r="13" spans="1:57" outlineLevel="1" x14ac:dyDescent="0.25">
      <c r="A13" s="13" t="s">
        <v>20</v>
      </c>
      <c r="B13" s="14">
        <f>#REF!</f>
        <v>4788.7404546969583</v>
      </c>
      <c r="C13" s="14">
        <f>#REF!</f>
        <v>4979.2903046676875</v>
      </c>
      <c r="D13" s="14">
        <f>#REF!</f>
        <v>5412.7258485220946</v>
      </c>
      <c r="E13" s="14">
        <f>#REF!</f>
        <v>5403.0057467902088</v>
      </c>
      <c r="F13" s="14">
        <f>#REF!</f>
        <v>5653.2190824603149</v>
      </c>
      <c r="G13" s="14">
        <f>#REF!</f>
        <v>5878.2828088789247</v>
      </c>
      <c r="H13" s="14">
        <f>#REF!</f>
        <v>6873.3504559086396</v>
      </c>
      <c r="I13" s="14">
        <f>#REF!</f>
        <v>7275.8730196654169</v>
      </c>
      <c r="J13" s="14">
        <f>#REF!</f>
        <v>8632.1528046517178</v>
      </c>
      <c r="K13" s="14">
        <f>#REF!</f>
        <v>9309.7229019830029</v>
      </c>
      <c r="L13" s="14">
        <f>#REF!</f>
        <v>10359.152061055522</v>
      </c>
      <c r="M13" s="14">
        <f>#REF!</f>
        <v>10825.287523066707</v>
      </c>
      <c r="N13" s="14">
        <f>#REF!</f>
        <v>11028.088350193018</v>
      </c>
      <c r="O13" s="14">
        <f>#REF!</f>
        <v>11199.275827738829</v>
      </c>
      <c r="P13" s="14">
        <f>#REF!</f>
        <v>11850.432062612017</v>
      </c>
      <c r="Q13" s="14">
        <f>#REF!</f>
        <v>12547.234989538229</v>
      </c>
      <c r="R13" s="14">
        <f>#REF!</f>
        <v>13178.700613293913</v>
      </c>
      <c r="S13" s="14">
        <f>#REF!</f>
        <v>13838.268981712095</v>
      </c>
      <c r="T13" s="14">
        <f>#REF!</f>
        <v>13083.925431284873</v>
      </c>
      <c r="U13" s="14">
        <f>#REF!</f>
        <v>11899.08573475969</v>
      </c>
      <c r="V13" s="14">
        <f>#REF!</f>
        <v>10988.455405872523</v>
      </c>
      <c r="W13" s="14">
        <f>#REF!</f>
        <v>10742.067305771905</v>
      </c>
      <c r="X13" s="14">
        <f>#REF!</f>
        <v>10370.837986137038</v>
      </c>
      <c r="Y13" s="14">
        <f>#REF!</f>
        <v>10593.311132431249</v>
      </c>
      <c r="Z13" s="14">
        <f>#REF!</f>
        <v>10841.792309462275</v>
      </c>
      <c r="AA13" s="14">
        <f>#REF!</f>
        <v>11343.511870029635</v>
      </c>
      <c r="AB13" s="14">
        <f>#REF!</f>
        <v>11808.093774993347</v>
      </c>
      <c r="AC13" s="14">
        <f>#REF!</f>
        <v>11694.493255242473</v>
      </c>
      <c r="AD13" s="14">
        <f>#REF!</f>
        <v>11850.43826943394</v>
      </c>
      <c r="AE13" s="14">
        <f>#REF!</f>
        <v>11851.813794091246</v>
      </c>
      <c r="AF13" s="14">
        <f>#REF!</f>
        <v>9876.6712006641828</v>
      </c>
      <c r="AG13" s="14">
        <f>#REF!</f>
        <v>10543.123981752422</v>
      </c>
      <c r="AH13" s="14">
        <f>#REF!</f>
        <v>11272.444532293734</v>
      </c>
      <c r="AI13" s="14">
        <f>#REF!</f>
        <v>11297.970912275559</v>
      </c>
      <c r="AJ13" s="14">
        <f>#REF!</f>
        <v>11153.693896675206</v>
      </c>
      <c r="AK13" s="14">
        <f>#REF!</f>
        <v>10963.371874403871</v>
      </c>
      <c r="AL13" s="15">
        <f t="shared" si="2"/>
        <v>0.20823247867077635</v>
      </c>
      <c r="AM13" s="15">
        <f t="shared" si="3"/>
        <v>0.19874220126688047</v>
      </c>
      <c r="AN13" s="15">
        <f t="shared" si="4"/>
        <v>1.289406155568658</v>
      </c>
      <c r="AO13" s="10"/>
      <c r="AP13" s="16">
        <f t="shared" si="5"/>
        <v>-1.7063586649806502E-2</v>
      </c>
      <c r="AQ13" s="17">
        <f t="shared" si="6"/>
        <v>-190.3220222713353</v>
      </c>
      <c r="AS13" s="17">
        <f t="shared" si="9"/>
        <v>-0.19032202227133529</v>
      </c>
      <c r="AU13" s="18">
        <f t="shared" si="7"/>
        <v>-0.12623204366977814</v>
      </c>
      <c r="AW13" s="18">
        <f t="shared" si="8"/>
        <v>-7.4855155131105716E-2</v>
      </c>
    </row>
    <row r="14" spans="1:57" outlineLevel="1" x14ac:dyDescent="0.25">
      <c r="A14" s="13" t="s">
        <v>21</v>
      </c>
      <c r="B14" s="14">
        <f>#REF!</f>
        <v>147.17404525824003</v>
      </c>
      <c r="C14" s="14">
        <f>#REF!</f>
        <v>142.93516146624</v>
      </c>
      <c r="D14" s="14">
        <f>#REF!</f>
        <v>128.18384587008001</v>
      </c>
      <c r="E14" s="14">
        <f>#REF!</f>
        <v>140.73094189440002</v>
      </c>
      <c r="F14" s="14">
        <f>#REF!</f>
        <v>132.59228501376001</v>
      </c>
      <c r="G14" s="14">
        <f>#REF!</f>
        <v>123.09718531967999</v>
      </c>
      <c r="H14" s="14">
        <f>#REF!</f>
        <v>143.44382752127999</v>
      </c>
      <c r="I14" s="14">
        <f>#REF!</f>
        <v>138.35716697088</v>
      </c>
      <c r="J14" s="14">
        <f>#REF!</f>
        <v>142.42649541120002</v>
      </c>
      <c r="K14" s="14">
        <f>#REF!</f>
        <v>137.00072415744</v>
      </c>
      <c r="L14" s="14">
        <f>#REF!</f>
        <v>136.08512525836801</v>
      </c>
      <c r="M14" s="14">
        <f>#REF!</f>
        <v>148.53048807168</v>
      </c>
      <c r="N14" s="14">
        <f>#REF!</f>
        <v>129.87939938687998</v>
      </c>
      <c r="O14" s="14">
        <f>#REF!</f>
        <v>143.44382752127999</v>
      </c>
      <c r="P14" s="14">
        <f>#REF!</f>
        <v>151.24337369855999</v>
      </c>
      <c r="Q14" s="14">
        <f>#REF!</f>
        <v>135.02802940591434</v>
      </c>
      <c r="R14" s="14">
        <f>#REF!</f>
        <v>135.02802940591434</v>
      </c>
      <c r="S14" s="14">
        <f>#REF!</f>
        <v>146.02613659225096</v>
      </c>
      <c r="T14" s="14">
        <f>#REF!</f>
        <v>154.7575356680731</v>
      </c>
      <c r="U14" s="14">
        <f>#REF!</f>
        <v>135.79539518085264</v>
      </c>
      <c r="V14" s="14">
        <f>#REF!</f>
        <v>134.75774483812967</v>
      </c>
      <c r="W14" s="14">
        <f>#REF!</f>
        <v>134.82492054084685</v>
      </c>
      <c r="X14" s="14">
        <f>#REF!</f>
        <v>130.43014604512317</v>
      </c>
      <c r="Y14" s="14">
        <f>#REF!</f>
        <v>129.89084927087453</v>
      </c>
      <c r="Z14" s="14">
        <f>#REF!</f>
        <v>119.15715362980119</v>
      </c>
      <c r="AA14" s="14">
        <f>#REF!</f>
        <v>121.43673282786671</v>
      </c>
      <c r="AB14" s="14">
        <f>#REF!</f>
        <v>123.67630042111966</v>
      </c>
      <c r="AC14" s="14">
        <f>#REF!</f>
        <v>127.66973671158881</v>
      </c>
      <c r="AD14" s="14">
        <f>#REF!</f>
        <v>129.00863697232074</v>
      </c>
      <c r="AE14" s="14">
        <f>#REF!</f>
        <v>135.00040592698258</v>
      </c>
      <c r="AF14" s="14">
        <f>#REF!</f>
        <v>107.55618406760449</v>
      </c>
      <c r="AG14" s="14">
        <f>#REF!</f>
        <v>116.31823034311482</v>
      </c>
      <c r="AH14" s="14">
        <f>#REF!</f>
        <v>130.04888829006131</v>
      </c>
      <c r="AI14" s="14">
        <f>#REF!</f>
        <v>136.90048390775132</v>
      </c>
      <c r="AJ14" s="14">
        <f>#REF!</f>
        <v>146.42121453209683</v>
      </c>
      <c r="AK14" s="14">
        <f>#REF!</f>
        <v>155.29207658408313</v>
      </c>
      <c r="AL14" s="15">
        <f t="shared" si="2"/>
        <v>2.9495354527316864E-3</v>
      </c>
      <c r="AM14" s="15">
        <f t="shared" si="3"/>
        <v>2.8151092103043196E-3</v>
      </c>
      <c r="AN14" s="15">
        <f t="shared" si="4"/>
        <v>5.5159395201774486E-2</v>
      </c>
      <c r="AO14" s="10"/>
      <c r="AP14" s="16">
        <f t="shared" si="5"/>
        <v>6.0584540842213382E-2</v>
      </c>
      <c r="AQ14" s="17">
        <f t="shared" si="6"/>
        <v>8.8708620519863075</v>
      </c>
      <c r="AR14" s="21"/>
      <c r="AS14" s="17">
        <f t="shared" si="9"/>
        <v>8.8708620519863078E-3</v>
      </c>
      <c r="AU14" s="18">
        <f t="shared" si="7"/>
        <v>0.15007289425258555</v>
      </c>
      <c r="AW14" s="18">
        <f t="shared" si="8"/>
        <v>0.20373395323447679</v>
      </c>
    </row>
    <row r="15" spans="1:57" outlineLevel="1" x14ac:dyDescent="0.25">
      <c r="A15" s="13" t="s">
        <v>22</v>
      </c>
      <c r="B15" s="14">
        <f>#REF!</f>
        <v>85.726956908678417</v>
      </c>
      <c r="C15" s="14">
        <f>#REF!</f>
        <v>82.562687081683208</v>
      </c>
      <c r="D15" s="14">
        <f>#REF!</f>
        <v>92.097163931212791</v>
      </c>
      <c r="E15" s="14">
        <f>#REF!</f>
        <v>92.097163931212791</v>
      </c>
      <c r="F15" s="14">
        <f>#REF!</f>
        <v>104.75424323919361</v>
      </c>
      <c r="G15" s="14">
        <f>#REF!</f>
        <v>92.055496562668793</v>
      </c>
      <c r="H15" s="14">
        <f>#REF!</f>
        <v>104.92091271336962</v>
      </c>
      <c r="I15" s="14">
        <f>#REF!</f>
        <v>108.08518254036478</v>
      </c>
      <c r="J15" s="14">
        <f>#REF!</f>
        <v>117.7029941269824</v>
      </c>
      <c r="K15" s="14">
        <f>#REF!</f>
        <v>130.48507554059518</v>
      </c>
      <c r="L15" s="14">
        <f>#REF!</f>
        <v>152.57225092446143</v>
      </c>
      <c r="M15" s="14">
        <f>#REF!</f>
        <v>152.50953751936132</v>
      </c>
      <c r="N15" s="14">
        <f>#REF!</f>
        <v>161.93963359524673</v>
      </c>
      <c r="O15" s="14">
        <f>#REF!</f>
        <v>174.53399949812734</v>
      </c>
      <c r="P15" s="14">
        <f>#REF!</f>
        <v>226.98568267800147</v>
      </c>
      <c r="Q15" s="14">
        <f>#REF!</f>
        <v>211.07129727370238</v>
      </c>
      <c r="R15" s="14">
        <f>#REF!</f>
        <v>249.97742158813534</v>
      </c>
      <c r="S15" s="14">
        <f>#REF!</f>
        <v>197.40859268813776</v>
      </c>
      <c r="T15" s="14">
        <f>#REF!</f>
        <v>204.61045789734627</v>
      </c>
      <c r="U15" s="14">
        <f>#REF!</f>
        <v>199.40026875476889</v>
      </c>
      <c r="V15" s="14">
        <f>#REF!</f>
        <v>199.99636947547253</v>
      </c>
      <c r="W15" s="14">
        <f>#REF!</f>
        <v>173.62376874531256</v>
      </c>
      <c r="X15" s="14">
        <f>#REF!</f>
        <v>183.48565770379801</v>
      </c>
      <c r="Y15" s="14">
        <f>#REF!</f>
        <v>179.47626489675855</v>
      </c>
      <c r="Z15" s="14">
        <f>#REF!</f>
        <v>224.67587290506694</v>
      </c>
      <c r="AA15" s="14">
        <f>#REF!</f>
        <v>221.59994578720966</v>
      </c>
      <c r="AB15" s="14">
        <f>#REF!</f>
        <v>266.29683759876133</v>
      </c>
      <c r="AC15" s="14">
        <f>#REF!</f>
        <v>235.13965761549042</v>
      </c>
      <c r="AD15" s="14">
        <f>#REF!</f>
        <v>260.07553164087784</v>
      </c>
      <c r="AE15" s="14">
        <f>#REF!</f>
        <v>276.99135330807951</v>
      </c>
      <c r="AF15" s="14">
        <f>#REF!</f>
        <v>338.74154628565952</v>
      </c>
      <c r="AG15" s="14">
        <f>#REF!</f>
        <v>362.23252940980211</v>
      </c>
      <c r="AH15" s="14">
        <f>#REF!</f>
        <v>305.61616181977513</v>
      </c>
      <c r="AI15" s="14">
        <f>#REF!</f>
        <v>323.93840906088064</v>
      </c>
      <c r="AJ15" s="14">
        <f>#REF!</f>
        <v>300.44222405261735</v>
      </c>
      <c r="AK15" s="14">
        <f>#REF!</f>
        <v>300.62397041519972</v>
      </c>
      <c r="AL15" s="15">
        <f t="shared" si="2"/>
        <v>5.7098924696295595E-3</v>
      </c>
      <c r="AM15" s="15">
        <f t="shared" si="3"/>
        <v>5.4496618666558779E-3</v>
      </c>
      <c r="AN15" s="15">
        <f t="shared" si="4"/>
        <v>2.5067612482202386</v>
      </c>
      <c r="AO15" s="10"/>
      <c r="AP15" s="16">
        <f t="shared" si="5"/>
        <v>6.0492949403324761E-4</v>
      </c>
      <c r="AQ15" s="17">
        <f t="shared" si="6"/>
        <v>0.18174636258237342</v>
      </c>
      <c r="AS15" s="17">
        <f t="shared" si="9"/>
        <v>1.8174636258237343E-4</v>
      </c>
      <c r="AU15" s="18">
        <f t="shared" si="7"/>
        <v>0.42427688794356411</v>
      </c>
      <c r="AW15" s="18">
        <f t="shared" si="8"/>
        <v>0.15591024083846805</v>
      </c>
    </row>
    <row r="16" spans="1:57" outlineLevel="1" x14ac:dyDescent="0.25">
      <c r="A16" s="13" t="s">
        <v>23</v>
      </c>
      <c r="B16" s="14">
        <f>#REF!</f>
        <v>73.224087895298638</v>
      </c>
      <c r="C16" s="14">
        <f>#REF!</f>
        <v>74.145975519255643</v>
      </c>
      <c r="D16" s="14">
        <f>#REF!</f>
        <v>74.22723889913236</v>
      </c>
      <c r="E16" s="14">
        <f>#REF!</f>
        <v>51.818715953795675</v>
      </c>
      <c r="F16" s="14">
        <f>#REF!</f>
        <v>44.468436357935275</v>
      </c>
      <c r="G16" s="14">
        <f>#REF!</f>
        <v>124.99034284365784</v>
      </c>
      <c r="H16" s="14">
        <f>#REF!</f>
        <v>135.68154408130164</v>
      </c>
      <c r="I16" s="14">
        <f>#REF!</f>
        <v>106.26101478719231</v>
      </c>
      <c r="J16" s="14">
        <f>#REF!</f>
        <v>70.866238415891189</v>
      </c>
      <c r="K16" s="14">
        <f>#REF!</f>
        <v>98.115413333344506</v>
      </c>
      <c r="L16" s="14">
        <f>#REF!</f>
        <v>61.677809067678709</v>
      </c>
      <c r="M16" s="14">
        <f>#REF!</f>
        <v>106.6254897412327</v>
      </c>
      <c r="N16" s="14">
        <f>#REF!</f>
        <v>107.20643997516267</v>
      </c>
      <c r="O16" s="14">
        <f>#REF!</f>
        <v>109.94266843023924</v>
      </c>
      <c r="P16" s="14">
        <f>#REF!</f>
        <v>120.23678808270515</v>
      </c>
      <c r="Q16" s="14">
        <f>#REF!</f>
        <v>152.65470290752529</v>
      </c>
      <c r="R16" s="14">
        <f>#REF!</f>
        <v>151.33965470609087</v>
      </c>
      <c r="S16" s="14">
        <f>#REF!</f>
        <v>129.21353600553113</v>
      </c>
      <c r="T16" s="14">
        <f>#REF!</f>
        <v>143.45358914149872</v>
      </c>
      <c r="U16" s="14">
        <f>#REF!</f>
        <v>148.18984765303915</v>
      </c>
      <c r="V16" s="14">
        <f>#REF!</f>
        <v>161.29659394491037</v>
      </c>
      <c r="W16" s="14">
        <f>#REF!</f>
        <v>150.45086723784382</v>
      </c>
      <c r="X16" s="14">
        <f>#REF!</f>
        <v>138.69032176083871</v>
      </c>
      <c r="Y16" s="14">
        <f>#REF!</f>
        <v>145.10048671270124</v>
      </c>
      <c r="Z16" s="14">
        <f>#REF!</f>
        <v>145.72321415579862</v>
      </c>
      <c r="AA16" s="14">
        <f>#REF!</f>
        <v>137.22056846634072</v>
      </c>
      <c r="AB16" s="14">
        <f>#REF!</f>
        <v>135.47209845383807</v>
      </c>
      <c r="AC16" s="14">
        <f>#REF!</f>
        <v>127.03156955375398</v>
      </c>
      <c r="AD16" s="14">
        <f>#REF!</f>
        <v>140.09463705865718</v>
      </c>
      <c r="AE16" s="14">
        <f>#REF!</f>
        <v>142.08762983071591</v>
      </c>
      <c r="AF16" s="14">
        <f>#REF!</f>
        <v>147.71426600754916</v>
      </c>
      <c r="AG16" s="14">
        <f>#REF!</f>
        <v>151.92134939523669</v>
      </c>
      <c r="AH16" s="14">
        <f>#REF!</f>
        <v>152.98046704479904</v>
      </c>
      <c r="AI16" s="14">
        <f>#REF!</f>
        <v>149.2702373277869</v>
      </c>
      <c r="AJ16" s="14">
        <f>#REF!</f>
        <v>155.5831205161453</v>
      </c>
      <c r="AK16" s="14">
        <f>#REF!</f>
        <v>160.37108882572358</v>
      </c>
      <c r="AL16" s="15">
        <f t="shared" si="2"/>
        <v>3.0460035211682971E-3</v>
      </c>
      <c r="AM16" s="15">
        <f t="shared" si="3"/>
        <v>2.9071807084463945E-3</v>
      </c>
      <c r="AN16" s="15">
        <f t="shared" si="4"/>
        <v>1.1901411603109942</v>
      </c>
      <c r="AO16" s="10"/>
      <c r="AP16" s="16">
        <f t="shared" si="5"/>
        <v>3.077434296017616E-2</v>
      </c>
      <c r="AQ16" s="17">
        <f t="shared" si="6"/>
        <v>4.7879683095782752</v>
      </c>
      <c r="AS16" s="17">
        <f t="shared" si="9"/>
        <v>4.7879683095782754E-3</v>
      </c>
      <c r="AU16" s="18">
        <f t="shared" si="7"/>
        <v>5.0547973768437997E-2</v>
      </c>
      <c r="AW16" s="18">
        <f t="shared" si="8"/>
        <v>0.14473396121920573</v>
      </c>
    </row>
    <row r="17" spans="1:55" x14ac:dyDescent="0.25">
      <c r="A17" s="20" t="s">
        <v>24</v>
      </c>
      <c r="B17" s="8">
        <f t="shared" ref="B17" si="12">SUM(B18:B22)</f>
        <v>3161.559738976744</v>
      </c>
      <c r="C17" s="8">
        <f t="shared" ref="C17:AF17" si="13">SUM(C18:C22)</f>
        <v>2872.553911284198</v>
      </c>
      <c r="D17" s="8">
        <f t="shared" si="13"/>
        <v>2784.0648123635565</v>
      </c>
      <c r="E17" s="8">
        <f t="shared" si="13"/>
        <v>2749.2930743739112</v>
      </c>
      <c r="F17" s="8">
        <f t="shared" si="13"/>
        <v>2987.4581126653125</v>
      </c>
      <c r="G17" s="8">
        <f t="shared" si="13"/>
        <v>2901.0088638522143</v>
      </c>
      <c r="H17" s="8">
        <f t="shared" si="13"/>
        <v>2982.9360376297204</v>
      </c>
      <c r="I17" s="8">
        <f t="shared" si="13"/>
        <v>3311.9963753963725</v>
      </c>
      <c r="J17" s="8">
        <f t="shared" si="13"/>
        <v>3201.4966168304627</v>
      </c>
      <c r="K17" s="8">
        <f t="shared" si="13"/>
        <v>3151.6402265406441</v>
      </c>
      <c r="L17" s="8">
        <f t="shared" si="13"/>
        <v>3699.2791976138528</v>
      </c>
      <c r="M17" s="8">
        <f t="shared" si="13"/>
        <v>3755.8997730443321</v>
      </c>
      <c r="N17" s="8">
        <f t="shared" si="13"/>
        <v>3267.579686525336</v>
      </c>
      <c r="O17" s="8">
        <f t="shared" si="13"/>
        <v>2491.4216368361776</v>
      </c>
      <c r="P17" s="8">
        <f t="shared" si="13"/>
        <v>2663.1856876769994</v>
      </c>
      <c r="Q17" s="8">
        <f t="shared" si="13"/>
        <v>2756.6068960085136</v>
      </c>
      <c r="R17" s="8">
        <f t="shared" si="13"/>
        <v>2699.3849926174648</v>
      </c>
      <c r="S17" s="8">
        <f t="shared" si="13"/>
        <v>2756.9996237713999</v>
      </c>
      <c r="T17" s="8">
        <f t="shared" si="13"/>
        <v>2466.9196776889826</v>
      </c>
      <c r="U17" s="8">
        <f t="shared" si="13"/>
        <v>1651.6548172225791</v>
      </c>
      <c r="V17" s="8">
        <f t="shared" si="13"/>
        <v>1457.7811095382394</v>
      </c>
      <c r="W17" s="8">
        <f t="shared" si="13"/>
        <v>1326.8874492072634</v>
      </c>
      <c r="X17" s="8">
        <f t="shared" si="13"/>
        <v>1553.2976314794837</v>
      </c>
      <c r="Y17" s="8">
        <f t="shared" si="13"/>
        <v>1469.352797746752</v>
      </c>
      <c r="Z17" s="8">
        <f t="shared" si="13"/>
        <v>1814.5751730041789</v>
      </c>
      <c r="AA17" s="8">
        <f t="shared" si="13"/>
        <v>2001.5452192972532</v>
      </c>
      <c r="AB17" s="8">
        <f t="shared" si="13"/>
        <v>2143.4511900924426</v>
      </c>
      <c r="AC17" s="8">
        <f t="shared" si="13"/>
        <v>2231.087953851672</v>
      </c>
      <c r="AD17" s="8">
        <f t="shared" si="13"/>
        <v>2287.8372177793594</v>
      </c>
      <c r="AE17" s="8">
        <f t="shared" si="13"/>
        <v>2259.5604371079921</v>
      </c>
      <c r="AF17" s="22">
        <f t="shared" si="13"/>
        <v>2102.6252598821225</v>
      </c>
      <c r="AG17" s="8">
        <f>SUM(AG18:AG22)</f>
        <v>2467.1432155430043</v>
      </c>
      <c r="AH17" s="8">
        <f t="shared" ref="AH17:AK17" si="14">SUM(AH18:AH22)</f>
        <v>2288.5369762829869</v>
      </c>
      <c r="AI17" s="8">
        <f t="shared" si="14"/>
        <v>2147.0263163196878</v>
      </c>
      <c r="AJ17" s="8">
        <f t="shared" si="14"/>
        <v>1866.7836147388048</v>
      </c>
      <c r="AK17" s="8">
        <f t="shared" si="14"/>
        <v>1833.5434595782401</v>
      </c>
      <c r="AL17" s="9">
        <f t="shared" si="2"/>
        <v>3.4825353341334846E-2</v>
      </c>
      <c r="AM17" s="9">
        <f t="shared" si="3"/>
        <v>3.323817411738441E-2</v>
      </c>
      <c r="AN17" s="9">
        <f t="shared" si="4"/>
        <v>-0.4200509840210464</v>
      </c>
      <c r="AO17" s="10"/>
      <c r="AP17" s="11">
        <f t="shared" si="5"/>
        <v>-1.7806110412649796E-2</v>
      </c>
      <c r="AQ17" s="12">
        <f t="shared" si="6"/>
        <v>-33.240155160564655</v>
      </c>
      <c r="AS17" s="12">
        <f t="shared" si="9"/>
        <v>-3.3240155160564652E-2</v>
      </c>
      <c r="AU17" s="9">
        <f t="shared" si="7"/>
        <v>-0.33485493987802267</v>
      </c>
      <c r="AW17" s="9">
        <f t="shared" si="8"/>
        <v>-0.19856909166031922</v>
      </c>
      <c r="AY17" s="10"/>
      <c r="AZ17" s="10"/>
      <c r="BA17" s="10"/>
      <c r="BB17" s="10"/>
      <c r="BC17" s="10"/>
    </row>
    <row r="18" spans="1:55" outlineLevel="1" x14ac:dyDescent="0.25">
      <c r="A18" s="13" t="s">
        <v>25</v>
      </c>
      <c r="B18" s="14">
        <f>#REF!</f>
        <v>1116.7254085014333</v>
      </c>
      <c r="C18" s="14">
        <f>#REF!</f>
        <v>992.38939661731536</v>
      </c>
      <c r="D18" s="14">
        <f>#REF!</f>
        <v>932.96808506651939</v>
      </c>
      <c r="E18" s="14">
        <f>#REF!</f>
        <v>951.12593750870883</v>
      </c>
      <c r="F18" s="14">
        <f>#REF!</f>
        <v>1081.7022655246876</v>
      </c>
      <c r="G18" s="14">
        <f>#REF!</f>
        <v>1084.1810327260134</v>
      </c>
      <c r="H18" s="14">
        <f>#REF!</f>
        <v>1198.3870831754853</v>
      </c>
      <c r="I18" s="14">
        <f>#REF!</f>
        <v>1384.9248481927566</v>
      </c>
      <c r="J18" s="14">
        <f>#REF!</f>
        <v>1288.1260716317763</v>
      </c>
      <c r="K18" s="14">
        <f>#REF!</f>
        <v>1353.709634567598</v>
      </c>
      <c r="L18" s="14">
        <f>#REF!</f>
        <v>1908.7841314126661</v>
      </c>
      <c r="M18" s="14">
        <f>#REF!</f>
        <v>2061.4371933464076</v>
      </c>
      <c r="N18" s="14">
        <f>#REF!</f>
        <v>2063.3791229426015</v>
      </c>
      <c r="O18" s="14">
        <f>#REF!</f>
        <v>2342.3181160836975</v>
      </c>
      <c r="P18" s="14">
        <f>#REF!</f>
        <v>2507.0626593013171</v>
      </c>
      <c r="Q18" s="14">
        <f>#REF!</f>
        <v>2552.7953464691873</v>
      </c>
      <c r="R18" s="14">
        <f>#REF!</f>
        <v>2538.7434105910074</v>
      </c>
      <c r="S18" s="14">
        <f>#REF!</f>
        <v>2580.4341213620519</v>
      </c>
      <c r="T18" s="14">
        <f>#REF!</f>
        <v>2301.583745387552</v>
      </c>
      <c r="U18" s="14">
        <f>#REF!</f>
        <v>1485.322669481403</v>
      </c>
      <c r="V18" s="14">
        <f>#REF!</f>
        <v>1299.0484147465629</v>
      </c>
      <c r="W18" s="14">
        <f>#REF!</f>
        <v>1167.2705389694754</v>
      </c>
      <c r="X18" s="14">
        <f>#REF!</f>
        <v>1391.9677990924165</v>
      </c>
      <c r="Y18" s="14">
        <f>#REF!</f>
        <v>1301.695001530657</v>
      </c>
      <c r="Z18" s="14">
        <f>#REF!</f>
        <v>1650.4531530457709</v>
      </c>
      <c r="AA18" s="14">
        <f>#REF!</f>
        <v>1830.3635214124336</v>
      </c>
      <c r="AB18" s="14">
        <f>#REF!</f>
        <v>1968.4013520332232</v>
      </c>
      <c r="AC18" s="14">
        <f>#REF!</f>
        <v>2039.8562560230891</v>
      </c>
      <c r="AD18" s="14">
        <f>#REF!</f>
        <v>2094.5489797619248</v>
      </c>
      <c r="AE18" s="14">
        <f>#REF!</f>
        <v>2057.8652228793621</v>
      </c>
      <c r="AF18" s="14">
        <f>#REF!</f>
        <v>1907.4373141016843</v>
      </c>
      <c r="AG18" s="14">
        <f>#REF!</f>
        <v>2256.9405207619102</v>
      </c>
      <c r="AH18" s="14">
        <f>#REF!</f>
        <v>2068.3747685666494</v>
      </c>
      <c r="AI18" s="14">
        <f>#REF!</f>
        <v>1933.8876215143528</v>
      </c>
      <c r="AJ18" s="14">
        <f>#REF!</f>
        <v>1654.3221432294367</v>
      </c>
      <c r="AK18" s="14">
        <f>#REF!</f>
        <v>1622.1031847023826</v>
      </c>
      <c r="AL18" s="15">
        <f t="shared" si="2"/>
        <v>3.0809368748946464E-2</v>
      </c>
      <c r="AM18" s="15">
        <f t="shared" si="3"/>
        <v>2.9405219607886196E-2</v>
      </c>
      <c r="AN18" s="15">
        <f t="shared" si="4"/>
        <v>0.45255330661736315</v>
      </c>
      <c r="AO18" s="10"/>
      <c r="AP18" s="16">
        <f t="shared" si="5"/>
        <v>-1.9475625505537185E-2</v>
      </c>
      <c r="AQ18" s="17">
        <f t="shared" si="6"/>
        <v>-32.218958527054156</v>
      </c>
      <c r="AS18" s="17">
        <f t="shared" si="9"/>
        <v>-3.2218958527054156E-2</v>
      </c>
      <c r="AU18" s="18">
        <f t="shared" si="7"/>
        <v>-0.36457766309158318</v>
      </c>
      <c r="AW18" s="18">
        <f t="shared" si="8"/>
        <v>-0.2255596787778352</v>
      </c>
    </row>
    <row r="19" spans="1:55" outlineLevel="1" x14ac:dyDescent="0.25">
      <c r="A19" s="13" t="s">
        <v>26</v>
      </c>
      <c r="B19" s="14">
        <f>IF(SUM(#REF!,#REF!*265)=0,"NO",SUM(#REF!,#REF!*265))</f>
        <v>1875.3334978391945</v>
      </c>
      <c r="C19" s="14">
        <f>IF(SUM(#REF!,#REF!*265)=0,"NO",SUM(#REF!,#REF!*265))</f>
        <v>1724.8285009289525</v>
      </c>
      <c r="D19" s="14">
        <f>IF(SUM(#REF!,#REF!*265)=0,"NO",SUM(#REF!,#REF!*265))</f>
        <v>1698.0734679642192</v>
      </c>
      <c r="E19" s="14">
        <f>IF(SUM(#REF!,#REF!*265)=0,"NO",SUM(#REF!,#REF!*265))</f>
        <v>1640.6987861620685</v>
      </c>
      <c r="F19" s="14">
        <f>IF(SUM(#REF!,#REF!*265)=0,"NO",SUM(#REF!,#REF!*265))</f>
        <v>1751.1376166776076</v>
      </c>
      <c r="G19" s="14">
        <f>IF(SUM(#REF!,#REF!*265)=0,"NO",SUM(#REF!,#REF!*265))</f>
        <v>1667.9492827002227</v>
      </c>
      <c r="H19" s="14">
        <f>IF(SUM(#REF!,#REF!*265)=0,"NO",SUM(#REF!,#REF!*265))</f>
        <v>1617.3624518539398</v>
      </c>
      <c r="I19" s="14">
        <f>IF(SUM(#REF!,#REF!*265)=0,"NO",SUM(#REF!,#REF!*265))</f>
        <v>1767.6365536725266</v>
      </c>
      <c r="J19" s="14">
        <f>IF(SUM(#REF!,#REF!*265)=0,"NO",SUM(#REF!,#REF!*265))</f>
        <v>1753.3176564006599</v>
      </c>
      <c r="K19" s="14">
        <f>IF(SUM(#REF!,#REF!*265)=0,"NO",SUM(#REF!,#REF!*265))</f>
        <v>1637.3296338628056</v>
      </c>
      <c r="L19" s="14">
        <f>IF(SUM(#REF!,#REF!*265)=0,"NO",SUM(#REF!,#REF!*265))</f>
        <v>1576.807354251187</v>
      </c>
      <c r="M19" s="14">
        <f>IF(SUM(#REF!,#REF!*265)=0,"NO",SUM(#REF!,#REF!*265))</f>
        <v>1540.8133255458383</v>
      </c>
      <c r="N19" s="14">
        <f>IF(SUM(#REF!,#REF!*265)=0,"NO",SUM(#REF!,#REF!*265))</f>
        <v>1060.7430995915581</v>
      </c>
      <c r="O19" s="14">
        <f>IF(SUM(#REF!,#REF!*265)=0,"NO",SUM(#REF!,#REF!*265))</f>
        <v>0.29746643374315695</v>
      </c>
      <c r="P19" s="14" t="str">
        <f>IF(SUM(#REF!,#REF!*265)=0,"NO",SUM(#REF!,#REF!*265))</f>
        <v>NO</v>
      </c>
      <c r="Q19" s="14" t="str">
        <f>IF(SUM(#REF!,#REF!*265)=0,"NO",SUM(#REF!,#REF!*265))</f>
        <v>NO</v>
      </c>
      <c r="R19" s="14" t="str">
        <f>IF(SUM(#REF!,#REF!*265)=0,"NO",SUM(#REF!,#REF!*265))</f>
        <v>NO</v>
      </c>
      <c r="S19" s="14" t="str">
        <f>IF(SUM(#REF!,#REF!*265)=0,"NO",SUM(#REF!,#REF!*265))</f>
        <v>NO</v>
      </c>
      <c r="T19" s="14" t="str">
        <f>IF(SUM(#REF!,#REF!*265)=0,"NO",SUM(#REF!,#REF!*265))</f>
        <v>NO</v>
      </c>
      <c r="U19" s="14" t="str">
        <f>IF(SUM(#REF!,#REF!*265)=0,"NO",SUM(#REF!,#REF!*265))</f>
        <v>NO</v>
      </c>
      <c r="V19" s="14" t="str">
        <f>IF(SUM(#REF!,#REF!*265)=0,"NO",SUM(#REF!,#REF!*265))</f>
        <v>NO</v>
      </c>
      <c r="W19" s="14" t="str">
        <f>IF(SUM(#REF!,#REF!*265)=0,"NO",SUM(#REF!,#REF!*265))</f>
        <v>NO</v>
      </c>
      <c r="X19" s="14" t="str">
        <f>IF(SUM(#REF!,#REF!*265)=0,"NO",SUM(#REF!,#REF!*265))</f>
        <v>NO</v>
      </c>
      <c r="Y19" s="14" t="str">
        <f>IF(SUM(#REF!,#REF!*265)=0,"NO",SUM(#REF!,#REF!*265))</f>
        <v>NO</v>
      </c>
      <c r="Z19" s="14" t="str">
        <f>IF(SUM(#REF!,#REF!*265)=0,"NO",SUM(#REF!,#REF!*265))</f>
        <v>NO</v>
      </c>
      <c r="AA19" s="14" t="str">
        <f>IF(SUM(#REF!,#REF!*265)=0,"NO",SUM(#REF!,#REF!*265))</f>
        <v>NO</v>
      </c>
      <c r="AB19" s="14" t="str">
        <f>IF(SUM(#REF!,#REF!*265)=0,"NO",SUM(#REF!,#REF!*265))</f>
        <v>NO</v>
      </c>
      <c r="AC19" s="14" t="str">
        <f>IF(SUM(#REF!,#REF!*265)=0,"NO",SUM(#REF!,#REF!*265))</f>
        <v>NO</v>
      </c>
      <c r="AD19" s="14" t="str">
        <f>IF(SUM(#REF!,#REF!*265)=0,"NO",SUM(#REF!,#REF!*265))</f>
        <v>NO</v>
      </c>
      <c r="AE19" s="14" t="str">
        <f>IF(SUM(#REF!,#REF!*265)=0,"NO",SUM(#REF!,#REF!*265))</f>
        <v>NO</v>
      </c>
      <c r="AF19" s="14" t="str">
        <f>IF(SUM(#REF!,#REF!*265)=0,"NO",SUM(#REF!,#REF!*265))</f>
        <v>NO</v>
      </c>
      <c r="AG19" s="14" t="str">
        <f>IF(SUM(#REF!,#REF!*265)=0,"NO",SUM(#REF!,#REF!*265))</f>
        <v>NO</v>
      </c>
      <c r="AH19" s="14" t="str">
        <f>IF(SUM(#REF!,#REF!*265)=0,"NO",SUM(#REF!,#REF!*265))</f>
        <v>NO</v>
      </c>
      <c r="AI19" s="14" t="str">
        <f>IF(SUM(#REF!,#REF!*265)=0,"NO",SUM(#REF!,#REF!*265))</f>
        <v>NO</v>
      </c>
      <c r="AJ19" s="14" t="str">
        <f>IF(SUM(#REF!,#REF!*265)=0,"NO",SUM(#REF!,#REF!*265))</f>
        <v>NO</v>
      </c>
      <c r="AK19" s="14" t="str">
        <f>IF(SUM(#REF!,#REF!*265)=0,"NO",SUM(#REF!,#REF!*265))</f>
        <v>NO</v>
      </c>
      <c r="AL19" s="15"/>
      <c r="AM19" s="15"/>
      <c r="AN19" s="15"/>
      <c r="AO19" s="10"/>
      <c r="AP19" s="16"/>
      <c r="AQ19" s="17"/>
      <c r="AS19" s="17">
        <f t="shared" si="9"/>
        <v>0</v>
      </c>
      <c r="AU19" s="18"/>
      <c r="AW19" s="18"/>
    </row>
    <row r="20" spans="1:55" outlineLevel="1" x14ac:dyDescent="0.25">
      <c r="A20" s="13" t="s">
        <v>27</v>
      </c>
      <c r="B20" s="14">
        <f>IF(#REF!=0,"NO",#REF!)</f>
        <v>26.080000000000002</v>
      </c>
      <c r="C20" s="14">
        <f>IF(#REF!=0,"NO",#REF!)</f>
        <v>23.44</v>
      </c>
      <c r="D20" s="14">
        <f>IF(#REF!=0,"NO",#REF!)</f>
        <v>20.56</v>
      </c>
      <c r="E20" s="14">
        <f>IF(#REF!=0,"NO",#REF!)</f>
        <v>26.080000000000002</v>
      </c>
      <c r="F20" s="14">
        <f>IF(#REF!=0,"NO",#REF!)</f>
        <v>21.28</v>
      </c>
      <c r="G20" s="14">
        <f>IF(#REF!=0,"NO",#REF!)</f>
        <v>24.8</v>
      </c>
      <c r="H20" s="14">
        <f>IF(#REF!=0,"NO",#REF!)</f>
        <v>27.28</v>
      </c>
      <c r="I20" s="14">
        <f>IF(#REF!=0,"NO",#REF!)</f>
        <v>26.96</v>
      </c>
      <c r="J20" s="14">
        <f>IF(#REF!=0,"NO",#REF!)</f>
        <v>28.64</v>
      </c>
      <c r="K20" s="14">
        <f>IF(#REF!=0,"NO",#REF!)</f>
        <v>26.8</v>
      </c>
      <c r="L20" s="14">
        <f>IF(#REF!=0,"NO",#REF!)</f>
        <v>28.8</v>
      </c>
      <c r="M20" s="14">
        <f>IF(#REF!=0,"NO",#REF!)</f>
        <v>12</v>
      </c>
      <c r="N20" s="14" t="str">
        <f>IF(#REF!=0,"NO",#REF!)</f>
        <v>NO</v>
      </c>
      <c r="O20" s="14" t="str">
        <f>IF(#REF!=0,"NO",#REF!)</f>
        <v>NO</v>
      </c>
      <c r="P20" s="14" t="str">
        <f>IF(#REF!=0,"NO",#REF!)</f>
        <v>NO</v>
      </c>
      <c r="Q20" s="14" t="str">
        <f>IF(#REF!=0,"NO",#REF!)</f>
        <v>NO</v>
      </c>
      <c r="R20" s="14" t="str">
        <f>IF(#REF!=0,"NO",#REF!)</f>
        <v>NO</v>
      </c>
      <c r="S20" s="14" t="str">
        <f>IF(#REF!=0,"NO",#REF!)</f>
        <v>NO</v>
      </c>
      <c r="T20" s="14" t="str">
        <f>IF(#REF!=0,"NO",#REF!)</f>
        <v>NO</v>
      </c>
      <c r="U20" s="14" t="str">
        <f>IF(#REF!=0,"NO",#REF!)</f>
        <v>NO</v>
      </c>
      <c r="V20" s="14" t="str">
        <f>IF(#REF!=0,"NO",#REF!)</f>
        <v>NO</v>
      </c>
      <c r="W20" s="14" t="str">
        <f>IF(#REF!=0,"NO",#REF!)</f>
        <v>NO</v>
      </c>
      <c r="X20" s="14" t="str">
        <f>IF(#REF!=0,"NO",#REF!)</f>
        <v>NO</v>
      </c>
      <c r="Y20" s="14" t="str">
        <f>IF(#REF!=0,"NO",#REF!)</f>
        <v>NO</v>
      </c>
      <c r="Z20" s="14" t="str">
        <f>IF(#REF!=0,"NO",#REF!)</f>
        <v>NO</v>
      </c>
      <c r="AA20" s="14" t="str">
        <f>IF(#REF!=0,"NO",#REF!)</f>
        <v>NO</v>
      </c>
      <c r="AB20" s="14" t="str">
        <f>IF(#REF!=0,"NO",#REF!)</f>
        <v>NO</v>
      </c>
      <c r="AC20" s="14" t="str">
        <f>IF(#REF!=0,"NO",#REF!)</f>
        <v>NO</v>
      </c>
      <c r="AD20" s="14" t="str">
        <f>IF(#REF!=0,"NO",#REF!)</f>
        <v>NO</v>
      </c>
      <c r="AE20" s="14" t="str">
        <f>IF(#REF!=0,"NO",#REF!)</f>
        <v>NO</v>
      </c>
      <c r="AF20" s="14" t="str">
        <f>IF(#REF!=0,"NO",#REF!)</f>
        <v>NO</v>
      </c>
      <c r="AG20" s="14" t="str">
        <f>IF(#REF!=0,"NO",#REF!)</f>
        <v>NO</v>
      </c>
      <c r="AH20" s="14" t="str">
        <f>IF(#REF!=0,"NO",#REF!)</f>
        <v>NO</v>
      </c>
      <c r="AI20" s="14" t="str">
        <f>IF(#REF!=0,"NO",#REF!)</f>
        <v>NO</v>
      </c>
      <c r="AJ20" s="14" t="str">
        <f>IF(#REF!=0,"NO",#REF!)</f>
        <v>NO</v>
      </c>
      <c r="AK20" s="14" t="str">
        <f>IF(#REF!=0,"NO",#REF!)</f>
        <v>NO</v>
      </c>
      <c r="AL20" s="15"/>
      <c r="AM20" s="15"/>
      <c r="AN20" s="15"/>
      <c r="AO20" s="10"/>
      <c r="AP20" s="16"/>
      <c r="AQ20" s="17"/>
      <c r="AS20" s="17">
        <f t="shared" si="9"/>
        <v>0</v>
      </c>
      <c r="AU20" s="18"/>
      <c r="AW20" s="18"/>
    </row>
    <row r="21" spans="1:55" outlineLevel="1" x14ac:dyDescent="0.25">
      <c r="A21" s="13" t="s">
        <v>28</v>
      </c>
      <c r="B21" s="14">
        <f>(#REF!+#REF!+#REF!+#REF!)</f>
        <v>115.54972263611637</v>
      </c>
      <c r="C21" s="14">
        <f>(#REF!+#REF!+#REF!+#REF!)</f>
        <v>103.86669873793002</v>
      </c>
      <c r="D21" s="14">
        <f>(#REF!+#REF!+#REF!+#REF!)</f>
        <v>104.2049843328175</v>
      </c>
      <c r="E21" s="14">
        <f>(#REF!+#REF!+#REF!+#REF!)</f>
        <v>102.97425570313355</v>
      </c>
      <c r="F21" s="14">
        <f>(#REF!+#REF!+#REF!+#REF!)</f>
        <v>104.83032546301699</v>
      </c>
      <c r="G21" s="14">
        <f>(#REF!+#REF!+#REF!+#REF!)</f>
        <v>95.448213425978267</v>
      </c>
      <c r="H21" s="14">
        <f>(#REF!+#REF!+#REF!+#REF!)</f>
        <v>111.07900760029547</v>
      </c>
      <c r="I21" s="14">
        <f>(#REF!+#REF!+#REF!+#REF!)</f>
        <v>103.3437885310892</v>
      </c>
      <c r="J21" s="14">
        <f>SUM(#REF!+#REF!+#REF!+#REF!)</f>
        <v>101.97324379802632</v>
      </c>
      <c r="K21" s="14">
        <f>(#REF!+#REF!+#REF!+#REF!)</f>
        <v>104.05523811024052</v>
      </c>
      <c r="L21" s="14">
        <f>(#REF!+#REF!+#REF!+#REF!)</f>
        <v>154.76118694999948</v>
      </c>
      <c r="M21" s="14">
        <f>(#REF!+#REF!+#REF!+#REF!)</f>
        <v>111.06401415208632</v>
      </c>
      <c r="N21" s="14">
        <f>(#REF!+#REF!+#REF!+#REF!)</f>
        <v>112.31572399117607</v>
      </c>
      <c r="O21" s="14">
        <f>(#REF!+#REF!+#REF!+#REF!)</f>
        <v>117.16584931873682</v>
      </c>
      <c r="P21" s="14">
        <f>(#REF!+#REF!+#REF!+#REF!)</f>
        <v>123.96368837568204</v>
      </c>
      <c r="Q21" s="14">
        <f>(#REF!+#REF!+#REF!+#REF!)</f>
        <v>170.9478395393262</v>
      </c>
      <c r="R21" s="14">
        <f>(#REF!+#REF!+#REF!+#REF!)</f>
        <v>126.99002702645743</v>
      </c>
      <c r="S21" s="14">
        <f>(#REF!+#REF!+#REF!+#REF!)</f>
        <v>141.77789240934803</v>
      </c>
      <c r="T21" s="14">
        <f>(#REF!+#REF!+#REF!+#REF!)</f>
        <v>129.67938730143075</v>
      </c>
      <c r="U21" s="14">
        <f>(#REF!+#REF!+#REF!+#REF!)</f>
        <v>130.29161774117625</v>
      </c>
      <c r="V21" s="14">
        <f>(#REF!+#REF!+#REF!+#REF!)</f>
        <v>122.52203479167653</v>
      </c>
      <c r="W21" s="14">
        <f>(#REF!+#REF!+#REF!+#REF!)</f>
        <v>123.24645523778807</v>
      </c>
      <c r="X21" s="14">
        <f>(#REF!+#REF!+#REF!+#REF!)</f>
        <v>124.80991738706712</v>
      </c>
      <c r="Y21" s="14">
        <f>(#REF!+#REF!+#REF!+#REF!)</f>
        <v>130.97093121609504</v>
      </c>
      <c r="Z21" s="14">
        <f>(#REF!+#REF!+#REF!+#REF!)</f>
        <v>127.19108995840783</v>
      </c>
      <c r="AA21" s="14">
        <f>(#REF!+#REF!+#REF!+#REF!)</f>
        <v>133.91368788481955</v>
      </c>
      <c r="AB21" s="14">
        <f>(#REF!+#REF!+#REF!+#REF!)</f>
        <v>137.37001805921938</v>
      </c>
      <c r="AC21" s="14">
        <f>(#REF!+#REF!+#REF!+#REF!)</f>
        <v>152.98504282858312</v>
      </c>
      <c r="AD21" s="14">
        <f>(#REF!+#REF!+#REF!+#REF!)</f>
        <v>154.45328301743493</v>
      </c>
      <c r="AE21" s="14">
        <f>(#REF!+#REF!+#REF!+#REF!)</f>
        <v>162.27513922862994</v>
      </c>
      <c r="AF21" s="14">
        <f>(#REF!+#REF!+#REF!+#REF!)</f>
        <v>155.20024078043815</v>
      </c>
      <c r="AG21" s="14">
        <f>(#REF!+#REF!+#REF!+#REF!)</f>
        <v>169.85882978109433</v>
      </c>
      <c r="AH21" s="14">
        <f>(#REF!+#REF!+#REF!+#REF!)</f>
        <v>178.9494077163375</v>
      </c>
      <c r="AI21" s="14">
        <f>(#REF!+#REF!+#REF!+#REF!)</f>
        <v>171.14997480533501</v>
      </c>
      <c r="AJ21" s="14">
        <f>(#REF!+#REF!+#REF!+#REF!)</f>
        <v>169.68808650936811</v>
      </c>
      <c r="AK21" s="14">
        <f>(#REF!+#REF!+#REF!+#REF!)</f>
        <v>168.04440487585737</v>
      </c>
      <c r="AL21" s="15">
        <f t="shared" ref="AL21:AL36" si="15">AK21/$AK$47</f>
        <v>3.1917464220794721E-3</v>
      </c>
      <c r="AM21" s="15">
        <f t="shared" ref="AM21:AM44" si="16">AK21/$AK$48</f>
        <v>3.0462813191244392E-3</v>
      </c>
      <c r="AN21" s="15">
        <f t="shared" ref="AN21:AN33" si="17">(AK21-B21)/B21</f>
        <v>0.45430383597764856</v>
      </c>
      <c r="AO21" s="10"/>
      <c r="AP21" s="16">
        <f t="shared" ref="AP21:AP44" si="18">(AK21-AJ21)/AJ21</f>
        <v>-9.6864881166539296E-3</v>
      </c>
      <c r="AQ21" s="17">
        <f t="shared" ref="AQ21:AQ44" si="19">AK21-AJ21</f>
        <v>-1.643681633510738</v>
      </c>
      <c r="AS21" s="17">
        <f t="shared" si="9"/>
        <v>-1.6436816335107381E-3</v>
      </c>
      <c r="AU21" s="18">
        <f t="shared" ref="AU21:AU44" si="20">(AK21-Q21)/Q21</f>
        <v>-1.6984330842045536E-2</v>
      </c>
      <c r="AW21" s="18">
        <f t="shared" ref="AW21:AW44" si="21">(AK21-AD21)/AD21</f>
        <v>8.7995033792115984E-2</v>
      </c>
    </row>
    <row r="22" spans="1:55" outlineLevel="1" x14ac:dyDescent="0.25">
      <c r="A22" s="13" t="s">
        <v>29</v>
      </c>
      <c r="B22" s="14">
        <f>(#REF!*265)</f>
        <v>27.871110000000002</v>
      </c>
      <c r="C22" s="14">
        <f>(#REF!*265)</f>
        <v>28.029314999999997</v>
      </c>
      <c r="D22" s="14">
        <f>(#REF!*265)</f>
        <v>28.258274999999998</v>
      </c>
      <c r="E22" s="14">
        <f>(#REF!*265)</f>
        <v>28.414095</v>
      </c>
      <c r="F22" s="14">
        <f>(#REF!*265)</f>
        <v>28.507904999999997</v>
      </c>
      <c r="G22" s="14">
        <f>(#REF!*265)</f>
        <v>28.630334999999999</v>
      </c>
      <c r="H22" s="14">
        <f>(#REF!*265)</f>
        <v>28.827494999999999</v>
      </c>
      <c r="I22" s="14">
        <f>(#REF!*265)</f>
        <v>29.131184999999999</v>
      </c>
      <c r="J22" s="14">
        <f>(#REF!*265)</f>
        <v>29.439644999999995</v>
      </c>
      <c r="K22" s="14">
        <f>(#REF!*265)</f>
        <v>29.745719999999995</v>
      </c>
      <c r="L22" s="14">
        <f>(#REF!*265)</f>
        <v>30.126525000000001</v>
      </c>
      <c r="M22" s="14">
        <f>(#REF!*265)</f>
        <v>30.585239999999999</v>
      </c>
      <c r="N22" s="14">
        <f>(#REF!*265)</f>
        <v>31.141739999999999</v>
      </c>
      <c r="O22" s="14">
        <f>(#REF!*265)</f>
        <v>31.640204999999998</v>
      </c>
      <c r="P22" s="14">
        <f>(#REF!*265)</f>
        <v>32.15934</v>
      </c>
      <c r="Q22" s="14">
        <f>(#REF!*265)</f>
        <v>32.863709999999998</v>
      </c>
      <c r="R22" s="14">
        <f>(#REF!*265)</f>
        <v>33.651554999999995</v>
      </c>
      <c r="S22" s="14">
        <f>(#REF!*265)</f>
        <v>34.787610000000001</v>
      </c>
      <c r="T22" s="14">
        <f>(#REF!*265)</f>
        <v>35.656545000000001</v>
      </c>
      <c r="U22" s="14">
        <f>(#REF!*265)</f>
        <v>36.040529999999997</v>
      </c>
      <c r="V22" s="14">
        <f>(#REF!*265)</f>
        <v>36.210660000000004</v>
      </c>
      <c r="W22" s="14">
        <f>(#REF!*265)</f>
        <v>36.370454999999993</v>
      </c>
      <c r="X22" s="14">
        <f>(#REF!*265)</f>
        <v>36.519914999999997</v>
      </c>
      <c r="Y22" s="14">
        <f>(#REF!*265)</f>
        <v>36.686865000000004</v>
      </c>
      <c r="Z22" s="14">
        <f>(#REF!*265)</f>
        <v>36.930929999999996</v>
      </c>
      <c r="AA22" s="14">
        <f>(#REF!*265)</f>
        <v>37.268009999999997</v>
      </c>
      <c r="AB22" s="14">
        <f>(#REF!*265)</f>
        <v>37.679819999999999</v>
      </c>
      <c r="AC22" s="14">
        <f>(#REF!*265)</f>
        <v>38.246654999999997</v>
      </c>
      <c r="AD22" s="14">
        <f>(#REF!*265)</f>
        <v>38.834955000000001</v>
      </c>
      <c r="AE22" s="14">
        <f>(#REF!*265)</f>
        <v>39.420074999999997</v>
      </c>
      <c r="AF22" s="14">
        <f>(#REF!*265)</f>
        <v>39.987704999999998</v>
      </c>
      <c r="AG22" s="14">
        <f>(#REF!*265)</f>
        <v>40.343864999999994</v>
      </c>
      <c r="AH22" s="14">
        <f>(#REF!*265)</f>
        <v>41.212799999999994</v>
      </c>
      <c r="AI22" s="14">
        <f>(#REF!*265)</f>
        <v>41.988720000000001</v>
      </c>
      <c r="AJ22" s="14">
        <f>(#REF!*265)</f>
        <v>42.773384999999998</v>
      </c>
      <c r="AK22" s="14">
        <f>(#REF!*265)</f>
        <v>43.395870000000002</v>
      </c>
      <c r="AL22" s="15">
        <f t="shared" si="15"/>
        <v>8.2423817030890742E-4</v>
      </c>
      <c r="AM22" s="15">
        <f t="shared" si="16"/>
        <v>7.8667319037377262E-4</v>
      </c>
      <c r="AN22" s="15">
        <f t="shared" si="17"/>
        <v>0.55701979576701466</v>
      </c>
      <c r="AO22" s="10"/>
      <c r="AP22" s="16">
        <f t="shared" si="18"/>
        <v>1.4553091835027895E-2</v>
      </c>
      <c r="AQ22" s="17">
        <f t="shared" si="19"/>
        <v>0.62248500000000462</v>
      </c>
      <c r="AS22" s="17">
        <f t="shared" si="9"/>
        <v>6.2248500000000465E-4</v>
      </c>
      <c r="AU22" s="18">
        <f t="shared" si="20"/>
        <v>0.32047994581256972</v>
      </c>
      <c r="AW22" s="18">
        <f t="shared" si="21"/>
        <v>0.11744355053327604</v>
      </c>
    </row>
    <row r="23" spans="1:55" x14ac:dyDescent="0.25">
      <c r="A23" s="20" t="s">
        <v>30</v>
      </c>
      <c r="B23" s="8">
        <f>#REF!</f>
        <v>35.524187103957608</v>
      </c>
      <c r="C23" s="8">
        <f>#REF!</f>
        <v>49.661994466251372</v>
      </c>
      <c r="D23" s="8">
        <f>#REF!</f>
        <v>63.799610544922189</v>
      </c>
      <c r="E23" s="8">
        <f>#REF!</f>
        <v>96.561008915301926</v>
      </c>
      <c r="F23" s="8">
        <f>#REF!</f>
        <v>135.26066400240859</v>
      </c>
      <c r="G23" s="8">
        <f>#REF!</f>
        <v>205.45058843855244</v>
      </c>
      <c r="H23" s="8">
        <f>#REF!</f>
        <v>299.64319190246647</v>
      </c>
      <c r="I23" s="8">
        <f>#REF!</f>
        <v>405.87354525393033</v>
      </c>
      <c r="J23" s="8">
        <f>#REF!</f>
        <v>310.8520087031024</v>
      </c>
      <c r="K23" s="8">
        <f>#REF!</f>
        <v>488.16084411976902</v>
      </c>
      <c r="L23" s="8">
        <f>#REF!</f>
        <v>706.98944973303674</v>
      </c>
      <c r="M23" s="8">
        <f>#REF!</f>
        <v>725.27197897556402</v>
      </c>
      <c r="N23" s="8">
        <f>#REF!</f>
        <v>724.27530595860844</v>
      </c>
      <c r="O23" s="8">
        <f>#REF!</f>
        <v>915.61564441666962</v>
      </c>
      <c r="P23" s="8">
        <f>#REF!</f>
        <v>941.02099530254043</v>
      </c>
      <c r="Q23" s="8">
        <f>#REF!</f>
        <v>1123.7330455373408</v>
      </c>
      <c r="R23" s="8">
        <f>#REF!</f>
        <v>1105.9131506090259</v>
      </c>
      <c r="S23" s="8">
        <f>#REF!</f>
        <v>1106.3151200833511</v>
      </c>
      <c r="T23" s="8">
        <f>#REF!</f>
        <v>1133.5310193940597</v>
      </c>
      <c r="U23" s="8">
        <f>#REF!</f>
        <v>1101.9758335651327</v>
      </c>
      <c r="V23" s="8">
        <f>#REF!</f>
        <v>1066.0954511931914</v>
      </c>
      <c r="W23" s="8">
        <f>#REF!</f>
        <v>1070.8006655506517</v>
      </c>
      <c r="X23" s="8">
        <f>#REF!</f>
        <v>1043.5836093635819</v>
      </c>
      <c r="Y23" s="8">
        <f>#REF!</f>
        <v>1072.1872664719847</v>
      </c>
      <c r="Z23" s="8">
        <f>#REF!</f>
        <v>1134.3868508431085</v>
      </c>
      <c r="AA23" s="8">
        <f>#REF!</f>
        <v>1130.6423607181532</v>
      </c>
      <c r="AB23" s="8">
        <f>#REF!</f>
        <v>1204.1511795314182</v>
      </c>
      <c r="AC23" s="8">
        <f>#REF!</f>
        <v>1136.8766238833434</v>
      </c>
      <c r="AD23" s="8">
        <f>#REF!</f>
        <v>831.80380701398747</v>
      </c>
      <c r="AE23" s="8">
        <f>#REF!</f>
        <v>808.6767930675195</v>
      </c>
      <c r="AF23" s="22">
        <f>#REF!</f>
        <v>648.2464309277068</v>
      </c>
      <c r="AG23" s="8">
        <f>#REF!</f>
        <v>692.62625692686925</v>
      </c>
      <c r="AH23" s="8">
        <f>#REF!</f>
        <v>658.98618090990965</v>
      </c>
      <c r="AI23" s="8">
        <f>#REF!</f>
        <v>604.65195289734368</v>
      </c>
      <c r="AJ23" s="8">
        <f>#REF!</f>
        <v>603.38505613479037</v>
      </c>
      <c r="AK23" s="8">
        <f>#REF!</f>
        <v>636.10671305374433</v>
      </c>
      <c r="AL23" s="9">
        <f t="shared" si="15"/>
        <v>1.2081873996042282E-2</v>
      </c>
      <c r="AM23" s="9">
        <f t="shared" si="16"/>
        <v>1.1531237820008285E-2</v>
      </c>
      <c r="AN23" s="9">
        <f t="shared" si="17"/>
        <v>16.906298916629627</v>
      </c>
      <c r="AO23" s="10"/>
      <c r="AP23" s="11">
        <f t="shared" si="18"/>
        <v>5.4230141410138356E-2</v>
      </c>
      <c r="AQ23" s="12">
        <f t="shared" si="19"/>
        <v>32.721656918953954</v>
      </c>
      <c r="AS23" s="12">
        <f t="shared" si="9"/>
        <v>3.2721656918953956E-2</v>
      </c>
      <c r="AU23" s="9">
        <f t="shared" si="20"/>
        <v>-0.43393431778134267</v>
      </c>
      <c r="AW23" s="9">
        <f t="shared" si="21"/>
        <v>-0.23526833167878533</v>
      </c>
      <c r="AY23" s="10"/>
    </row>
    <row r="24" spans="1:55" x14ac:dyDescent="0.25">
      <c r="A24" s="20" t="s">
        <v>31</v>
      </c>
      <c r="B24" s="8">
        <f t="shared" ref="B24" si="22">SUM(B25:B31)</f>
        <v>20570.904991976302</v>
      </c>
      <c r="C24" s="8">
        <f t="shared" ref="C24:AK24" si="23">SUM(C25:C31)</f>
        <v>20707.377835024476</v>
      </c>
      <c r="D24" s="8">
        <f t="shared" si="23"/>
        <v>20839.224016985278</v>
      </c>
      <c r="E24" s="8">
        <f t="shared" si="23"/>
        <v>21084.457489698871</v>
      </c>
      <c r="F24" s="8">
        <f t="shared" si="23"/>
        <v>21225.841218929974</v>
      </c>
      <c r="G24" s="8">
        <f t="shared" si="23"/>
        <v>21867.860882532965</v>
      </c>
      <c r="H24" s="8">
        <f t="shared" si="23"/>
        <v>22075.445413414665</v>
      </c>
      <c r="I24" s="8">
        <f t="shared" si="23"/>
        <v>22183.480286125068</v>
      </c>
      <c r="J24" s="8">
        <f t="shared" si="23"/>
        <v>22612.673210015339</v>
      </c>
      <c r="K24" s="8">
        <f t="shared" si="23"/>
        <v>22266.719047496717</v>
      </c>
      <c r="L24" s="8">
        <f t="shared" si="23"/>
        <v>21335.008709033813</v>
      </c>
      <c r="M24" s="8">
        <f t="shared" si="23"/>
        <v>21033.202142485869</v>
      </c>
      <c r="N24" s="8">
        <f t="shared" si="23"/>
        <v>20706.626835964977</v>
      </c>
      <c r="O24" s="8">
        <f t="shared" si="23"/>
        <v>20996.159520189023</v>
      </c>
      <c r="P24" s="8">
        <f t="shared" si="23"/>
        <v>20651.404618255361</v>
      </c>
      <c r="Q24" s="8">
        <f t="shared" si="23"/>
        <v>20183.732962774309</v>
      </c>
      <c r="R24" s="8">
        <f t="shared" si="23"/>
        <v>19766.098255647201</v>
      </c>
      <c r="S24" s="8">
        <f t="shared" si="23"/>
        <v>19628.476137904887</v>
      </c>
      <c r="T24" s="8">
        <f t="shared" si="23"/>
        <v>19260.4113190346</v>
      </c>
      <c r="U24" s="8">
        <f t="shared" si="23"/>
        <v>18844.471615666589</v>
      </c>
      <c r="V24" s="8">
        <f t="shared" si="23"/>
        <v>18988.314346678682</v>
      </c>
      <c r="W24" s="8">
        <f t="shared" si="23"/>
        <v>18557.33832030421</v>
      </c>
      <c r="X24" s="8">
        <f t="shared" si="23"/>
        <v>18859.233411157347</v>
      </c>
      <c r="Y24" s="8">
        <f t="shared" si="23"/>
        <v>19448.636013942163</v>
      </c>
      <c r="Z24" s="8">
        <f t="shared" si="23"/>
        <v>19526.565007102839</v>
      </c>
      <c r="AA24" s="8">
        <f t="shared" si="23"/>
        <v>19920.550163026874</v>
      </c>
      <c r="AB24" s="8">
        <f t="shared" si="23"/>
        <v>20507.605954074821</v>
      </c>
      <c r="AC24" s="8">
        <f t="shared" si="23"/>
        <v>21126.957903529936</v>
      </c>
      <c r="AD24" s="8">
        <f t="shared" si="23"/>
        <v>21402.383015470303</v>
      </c>
      <c r="AE24" s="8">
        <f t="shared" si="23"/>
        <v>21283.511936701434</v>
      </c>
      <c r="AF24" s="8">
        <f t="shared" si="23"/>
        <v>21588.362732753743</v>
      </c>
      <c r="AG24" s="8">
        <f t="shared" si="23"/>
        <v>21967.614528787839</v>
      </c>
      <c r="AH24" s="8">
        <f t="shared" si="23"/>
        <v>21779.867224278667</v>
      </c>
      <c r="AI24" s="8">
        <f t="shared" si="23"/>
        <v>20719.546534732603</v>
      </c>
      <c r="AJ24" s="8">
        <f t="shared" si="23"/>
        <v>20435.676852595858</v>
      </c>
      <c r="AK24" s="8">
        <f t="shared" si="23"/>
        <v>20398.448033618672</v>
      </c>
      <c r="AL24" s="9">
        <f t="shared" si="15"/>
        <v>0.38743731798374326</v>
      </c>
      <c r="AM24" s="9">
        <f t="shared" si="16"/>
        <v>0.36977970929676968</v>
      </c>
      <c r="AN24" s="9">
        <f t="shared" si="17"/>
        <v>-8.3835377405562534E-3</v>
      </c>
      <c r="AO24" s="10"/>
      <c r="AP24" s="11">
        <f t="shared" si="18"/>
        <v>-1.8217561006528221E-3</v>
      </c>
      <c r="AQ24" s="12">
        <f t="shared" si="19"/>
        <v>-37.228818977186165</v>
      </c>
      <c r="AS24" s="12">
        <f t="shared" si="9"/>
        <v>-3.7228818977186162E-2</v>
      </c>
      <c r="AU24" s="9">
        <f t="shared" si="20"/>
        <v>1.0638025742828157E-2</v>
      </c>
      <c r="AV24" s="23"/>
      <c r="AW24" s="9">
        <f t="shared" si="21"/>
        <v>-4.6907626180035931E-2</v>
      </c>
      <c r="AX24" s="23"/>
      <c r="AY24" s="21"/>
    </row>
    <row r="25" spans="1:55" outlineLevel="1" x14ac:dyDescent="0.25">
      <c r="A25" s="13" t="s">
        <v>32</v>
      </c>
      <c r="B25" s="14">
        <f>#REF!</f>
        <v>12480.172254775534</v>
      </c>
      <c r="C25" s="14">
        <f>#REF!</f>
        <v>12637.185400482977</v>
      </c>
      <c r="D25" s="14">
        <f>#REF!</f>
        <v>12829.661388949207</v>
      </c>
      <c r="E25" s="14">
        <f>#REF!</f>
        <v>12832.961327585786</v>
      </c>
      <c r="F25" s="14">
        <f>#REF!</f>
        <v>12783.895165753058</v>
      </c>
      <c r="G25" s="14">
        <f>#REF!</f>
        <v>12826.69675958985</v>
      </c>
      <c r="H25" s="14">
        <f>#REF!</f>
        <v>13171.052879886071</v>
      </c>
      <c r="I25" s="14">
        <f>#REF!</f>
        <v>13456.31261039856</v>
      </c>
      <c r="J25" s="14">
        <f>#REF!</f>
        <v>13635.427259586366</v>
      </c>
      <c r="K25" s="14">
        <f>#REF!</f>
        <v>13255.947013862778</v>
      </c>
      <c r="L25" s="14">
        <f>#REF!</f>
        <v>12685.166488716532</v>
      </c>
      <c r="M25" s="14">
        <f>#REF!</f>
        <v>12595.141690442057</v>
      </c>
      <c r="N25" s="14">
        <f>#REF!</f>
        <v>12456.879348700151</v>
      </c>
      <c r="O25" s="14">
        <f>#REF!</f>
        <v>12439.716020069503</v>
      </c>
      <c r="P25" s="14">
        <f>#REF!</f>
        <v>12398.020226636896</v>
      </c>
      <c r="Q25" s="14">
        <f>#REF!</f>
        <v>12016.18723329971</v>
      </c>
      <c r="R25" s="14">
        <f>#REF!</f>
        <v>11834.227430297326</v>
      </c>
      <c r="S25" s="14">
        <f>#REF!</f>
        <v>11761.129885381855</v>
      </c>
      <c r="T25" s="14">
        <f>#REF!</f>
        <v>11612.331058102023</v>
      </c>
      <c r="U25" s="14">
        <f>#REF!</f>
        <v>11403.602820352538</v>
      </c>
      <c r="V25" s="14">
        <f>#REF!</f>
        <v>11205.417874590234</v>
      </c>
      <c r="W25" s="14">
        <f>#REF!</f>
        <v>11247.423461791974</v>
      </c>
      <c r="X25" s="14">
        <f>#REF!</f>
        <v>11565.560327349578</v>
      </c>
      <c r="Y25" s="14">
        <f>#REF!</f>
        <v>11596.485149457974</v>
      </c>
      <c r="Z25" s="14">
        <f>#REF!</f>
        <v>11901.192075200464</v>
      </c>
      <c r="AA25" s="14">
        <f>#REF!</f>
        <v>12226.016539933107</v>
      </c>
      <c r="AB25" s="14">
        <f>#REF!</f>
        <v>12628.465103097811</v>
      </c>
      <c r="AC25" s="14">
        <f>#REF!</f>
        <v>12977.795392757302</v>
      </c>
      <c r="AD25" s="14">
        <f>#REF!</f>
        <v>12916.599385858823</v>
      </c>
      <c r="AE25" s="14">
        <f>#REF!</f>
        <v>13091.203534766764</v>
      </c>
      <c r="AF25" s="14">
        <f>#REF!</f>
        <v>13260.189768763996</v>
      </c>
      <c r="AG25" s="14">
        <f>#REF!</f>
        <v>13328.638890777194</v>
      </c>
      <c r="AH25" s="14">
        <f>#REF!</f>
        <v>13356.734293082372</v>
      </c>
      <c r="AI25" s="14">
        <f>#REF!</f>
        <v>13059.766159156707</v>
      </c>
      <c r="AJ25" s="14">
        <f>#REF!</f>
        <v>12696.142673001888</v>
      </c>
      <c r="AK25" s="14">
        <f>#REF!</f>
        <v>12473.615496901708</v>
      </c>
      <c r="AL25" s="15">
        <f t="shared" si="15"/>
        <v>0.23691724614123641</v>
      </c>
      <c r="AM25" s="15">
        <f t="shared" si="16"/>
        <v>0.22611964913811838</v>
      </c>
      <c r="AN25" s="15">
        <f t="shared" si="17"/>
        <v>-5.2537398843333159E-4</v>
      </c>
      <c r="AO25" s="10"/>
      <c r="AP25" s="16">
        <f t="shared" si="18"/>
        <v>-1.7527148349819693E-2</v>
      </c>
      <c r="AQ25" s="17">
        <f t="shared" si="19"/>
        <v>-222.52717610018044</v>
      </c>
      <c r="AS25" s="17">
        <f t="shared" si="9"/>
        <v>-0.22252717610018044</v>
      </c>
      <c r="AU25" s="18">
        <f t="shared" si="20"/>
        <v>3.8067671110712686E-2</v>
      </c>
      <c r="AW25" s="18">
        <f t="shared" si="21"/>
        <v>-3.4295705527733276E-2</v>
      </c>
      <c r="AY25" s="21"/>
    </row>
    <row r="26" spans="1:55" outlineLevel="1" x14ac:dyDescent="0.25">
      <c r="A26" s="13" t="s">
        <v>33</v>
      </c>
      <c r="B26" s="14">
        <f>#REF!</f>
        <v>2434.7075801506553</v>
      </c>
      <c r="C26" s="14">
        <f>#REF!</f>
        <v>2457.3114020230328</v>
      </c>
      <c r="D26" s="14">
        <f>#REF!</f>
        <v>2503.8510309725561</v>
      </c>
      <c r="E26" s="14">
        <f>#REF!</f>
        <v>2504.4712621407266</v>
      </c>
      <c r="F26" s="14">
        <f>#REF!</f>
        <v>2489.9414161764548</v>
      </c>
      <c r="G26" s="14">
        <f>#REF!</f>
        <v>2496.4807867055956</v>
      </c>
      <c r="H26" s="14">
        <f>#REF!</f>
        <v>2584.336278134816</v>
      </c>
      <c r="I26" s="14">
        <f>#REF!</f>
        <v>2642.3626309754627</v>
      </c>
      <c r="J26" s="14">
        <f>#REF!</f>
        <v>2667.2714256968661</v>
      </c>
      <c r="K26" s="14">
        <f>#REF!</f>
        <v>2576.4610982142526</v>
      </c>
      <c r="L26" s="14">
        <f>#REF!</f>
        <v>2462.6894970797812</v>
      </c>
      <c r="M26" s="14">
        <f>#REF!</f>
        <v>2469.8085449805321</v>
      </c>
      <c r="N26" s="14">
        <f>#REF!</f>
        <v>2461.2517968957695</v>
      </c>
      <c r="O26" s="14">
        <f>#REF!</f>
        <v>2431.5576174951302</v>
      </c>
      <c r="P26" s="14">
        <f>#REF!</f>
        <v>2417.3540189980376</v>
      </c>
      <c r="Q26" s="14">
        <f>#REF!</f>
        <v>2395.5352558051754</v>
      </c>
      <c r="R26" s="14">
        <f>#REF!</f>
        <v>2331.5425332566238</v>
      </c>
      <c r="S26" s="14">
        <f>#REF!</f>
        <v>2342.6321426089658</v>
      </c>
      <c r="T26" s="14">
        <f>#REF!</f>
        <v>2304.0851228253532</v>
      </c>
      <c r="U26" s="14">
        <f>#REF!</f>
        <v>2291.3742233409066</v>
      </c>
      <c r="V26" s="14">
        <f>#REF!</f>
        <v>2280.8294106205844</v>
      </c>
      <c r="W26" s="14">
        <f>#REF!</f>
        <v>2309.6220542657766</v>
      </c>
      <c r="X26" s="14">
        <f>#REF!</f>
        <v>2366.177139576168</v>
      </c>
      <c r="Y26" s="14">
        <f>#REF!</f>
        <v>2364.1387140181132</v>
      </c>
      <c r="Z26" s="14">
        <f>#REF!</f>
        <v>2449.4707275269693</v>
      </c>
      <c r="AA26" s="14">
        <f>#REF!</f>
        <v>2499.7770484891071</v>
      </c>
      <c r="AB26" s="14">
        <f>#REF!</f>
        <v>2547.1748105915672</v>
      </c>
      <c r="AC26" s="14">
        <f>#REF!</f>
        <v>2638.5795540514932</v>
      </c>
      <c r="AD26" s="14">
        <f>#REF!</f>
        <v>2567.3395304357969</v>
      </c>
      <c r="AE26" s="14">
        <f>#REF!</f>
        <v>2609.3805746456514</v>
      </c>
      <c r="AF26" s="14">
        <f>#REF!</f>
        <v>2594.0681608686887</v>
      </c>
      <c r="AG26" s="14">
        <f>#REF!</f>
        <v>2550.6684563413651</v>
      </c>
      <c r="AH26" s="14">
        <f>#REF!</f>
        <v>2510.6688569834532</v>
      </c>
      <c r="AI26" s="14">
        <f>#REF!</f>
        <v>2453.0350873114726</v>
      </c>
      <c r="AJ26" s="14">
        <f>#REF!</f>
        <v>2405.5508012175637</v>
      </c>
      <c r="AK26" s="14">
        <f>#REF!</f>
        <v>2367.937900623916</v>
      </c>
      <c r="AL26" s="15">
        <f t="shared" si="15"/>
        <v>4.4975358314405772E-2</v>
      </c>
      <c r="AM26" s="15">
        <f t="shared" si="16"/>
        <v>4.2925588607643755E-2</v>
      </c>
      <c r="AN26" s="15">
        <f t="shared" si="17"/>
        <v>-2.7424106316130056E-2</v>
      </c>
      <c r="AO26" s="10"/>
      <c r="AP26" s="16">
        <f t="shared" si="18"/>
        <v>-1.5635878724577366E-2</v>
      </c>
      <c r="AQ26" s="17">
        <f t="shared" si="19"/>
        <v>-37.612900593647737</v>
      </c>
      <c r="AS26" s="17">
        <f t="shared" si="9"/>
        <v>-3.761290059364774E-2</v>
      </c>
      <c r="AU26" s="18">
        <f t="shared" si="20"/>
        <v>-1.1520329377070078E-2</v>
      </c>
      <c r="AW26" s="18">
        <f t="shared" si="21"/>
        <v>-7.7668585494039877E-2</v>
      </c>
      <c r="AY26" s="21"/>
    </row>
    <row r="27" spans="1:55" outlineLevel="1" x14ac:dyDescent="0.25">
      <c r="A27" s="13" t="s">
        <v>34</v>
      </c>
      <c r="B27" s="14">
        <f>#REF!</f>
        <v>4393.4413467377981</v>
      </c>
      <c r="C27" s="14">
        <f>#REF!</f>
        <v>4352.3453208914807</v>
      </c>
      <c r="D27" s="14">
        <f>#REF!</f>
        <v>4269.6658964782846</v>
      </c>
      <c r="E27" s="14">
        <f>#REF!</f>
        <v>4411.9768517666353</v>
      </c>
      <c r="F27" s="14">
        <f>#REF!</f>
        <v>4596.7097654617337</v>
      </c>
      <c r="G27" s="14">
        <f>#REF!</f>
        <v>4807.654486726864</v>
      </c>
      <c r="H27" s="14">
        <f>#REF!</f>
        <v>4810.5902944134814</v>
      </c>
      <c r="I27" s="14">
        <f>#REF!</f>
        <v>4628.6236649351349</v>
      </c>
      <c r="J27" s="14">
        <f>#REF!</f>
        <v>4953.3814560378632</v>
      </c>
      <c r="K27" s="14">
        <f>#REF!</f>
        <v>4962.2173758011249</v>
      </c>
      <c r="L27" s="14">
        <f>#REF!</f>
        <v>4715.383103685177</v>
      </c>
      <c r="M27" s="14">
        <f>#REF!</f>
        <v>4473.4348303080533</v>
      </c>
      <c r="N27" s="14">
        <f>#REF!</f>
        <v>4420.6992020154785</v>
      </c>
      <c r="O27" s="14">
        <f>#REF!</f>
        <v>4599.7719469216572</v>
      </c>
      <c r="P27" s="14">
        <f>#REF!</f>
        <v>4487.2578719429275</v>
      </c>
      <c r="Q27" s="14">
        <f>#REF!</f>
        <v>4355.8220503988614</v>
      </c>
      <c r="R27" s="14">
        <f>#REF!</f>
        <v>4246.5663355704382</v>
      </c>
      <c r="S27" s="14">
        <f>#REF!</f>
        <v>4117.3205028833117</v>
      </c>
      <c r="T27" s="14">
        <f>#REF!</f>
        <v>3981.7288153595919</v>
      </c>
      <c r="U27" s="14">
        <f>#REF!</f>
        <v>3867.8827754167269</v>
      </c>
      <c r="V27" s="14">
        <f>#REF!</f>
        <v>4154.0390884424642</v>
      </c>
      <c r="W27" s="14">
        <f>#REF!</f>
        <v>3791.8116089198634</v>
      </c>
      <c r="X27" s="14">
        <f>#REF!</f>
        <v>3901.122711128432</v>
      </c>
      <c r="Y27" s="14">
        <f>#REF!</f>
        <v>4257.1539868743976</v>
      </c>
      <c r="Z27" s="14">
        <f>#REF!</f>
        <v>4127.2612236966388</v>
      </c>
      <c r="AA27" s="14">
        <f>#REF!</f>
        <v>4154.6465057291252</v>
      </c>
      <c r="AB27" s="14">
        <f>#REF!</f>
        <v>4221.7047733379095</v>
      </c>
      <c r="AC27" s="14">
        <f>#REF!</f>
        <v>4468.533093973665</v>
      </c>
      <c r="AD27" s="14">
        <f>#REF!</f>
        <v>4692.8105740935171</v>
      </c>
      <c r="AE27" s="14">
        <f>#REF!</f>
        <v>4460.1454473438389</v>
      </c>
      <c r="AF27" s="14">
        <f>#REF!</f>
        <v>4514.6986608861025</v>
      </c>
      <c r="AG27" s="14">
        <f>#REF!</f>
        <v>4683.9984214870301</v>
      </c>
      <c r="AH27" s="14">
        <f>#REF!</f>
        <v>4238.3438725430251</v>
      </c>
      <c r="AI27" s="14">
        <f>#REF!</f>
        <v>3823.2520941569628</v>
      </c>
      <c r="AJ27" s="14">
        <f>#REF!</f>
        <v>3902.5306955184215</v>
      </c>
      <c r="AK27" s="14">
        <f>#REF!</f>
        <v>4130.2043494835052</v>
      </c>
      <c r="AL27" s="15">
        <f t="shared" si="15"/>
        <v>7.8446913865770532E-2</v>
      </c>
      <c r="AM27" s="15">
        <f t="shared" si="16"/>
        <v>7.4871664803674201E-2</v>
      </c>
      <c r="AN27" s="15">
        <f t="shared" si="17"/>
        <v>-5.9915901107852651E-2</v>
      </c>
      <c r="AO27" s="10"/>
      <c r="AP27" s="16">
        <f t="shared" si="18"/>
        <v>5.8340003379483744E-2</v>
      </c>
      <c r="AQ27" s="17">
        <f t="shared" si="19"/>
        <v>227.67365396508376</v>
      </c>
      <c r="AS27" s="17">
        <f t="shared" si="9"/>
        <v>0.22767365396508377</v>
      </c>
      <c r="AU27" s="18">
        <f t="shared" si="20"/>
        <v>-5.179681316290146E-2</v>
      </c>
      <c r="AW27" s="18">
        <f t="shared" si="21"/>
        <v>-0.11988683875625797</v>
      </c>
      <c r="AY27" s="21"/>
    </row>
    <row r="28" spans="1:55" outlineLevel="1" x14ac:dyDescent="0.25">
      <c r="A28" s="13" t="s">
        <v>35</v>
      </c>
      <c r="B28" s="14">
        <f>#REF!</f>
        <v>355.036</v>
      </c>
      <c r="C28" s="14">
        <f>#REF!</f>
        <v>315.14515999999998</v>
      </c>
      <c r="D28" s="14">
        <f>#REF!</f>
        <v>255.60083999999998</v>
      </c>
      <c r="E28" s="14">
        <f>#REF!</f>
        <v>357.2998</v>
      </c>
      <c r="F28" s="14">
        <f>#REF!</f>
        <v>269.64124000000004</v>
      </c>
      <c r="G28" s="14">
        <f>#REF!</f>
        <v>494.59520000000003</v>
      </c>
      <c r="H28" s="14">
        <f>#REF!</f>
        <v>484.03343999999993</v>
      </c>
      <c r="I28" s="14">
        <f>#REF!</f>
        <v>423.48680000000002</v>
      </c>
      <c r="J28" s="14">
        <f>#REF!</f>
        <v>305.58044000000001</v>
      </c>
      <c r="K28" s="14">
        <f>#REF!</f>
        <v>383.22723999999999</v>
      </c>
      <c r="L28" s="14">
        <f>#REF!</f>
        <v>366.38315999999998</v>
      </c>
      <c r="M28" s="14">
        <f>#REF!</f>
        <v>385.28247999999996</v>
      </c>
      <c r="N28" s="14">
        <f>#REF!</f>
        <v>273.89956000000001</v>
      </c>
      <c r="O28" s="14">
        <f>#REF!</f>
        <v>386.76</v>
      </c>
      <c r="P28" s="14">
        <f>#REF!</f>
        <v>240.79571999999996</v>
      </c>
      <c r="Q28" s="14">
        <f>#REF!</f>
        <v>266.73371999999995</v>
      </c>
      <c r="R28" s="14">
        <f>#REF!</f>
        <v>254.85636</v>
      </c>
      <c r="S28" s="14">
        <f>#REF!</f>
        <v>376.76671999999996</v>
      </c>
      <c r="T28" s="14">
        <f>#REF!</f>
        <v>262.20744000000002</v>
      </c>
      <c r="U28" s="14">
        <f>#REF!</f>
        <v>307.32239999999996</v>
      </c>
      <c r="V28" s="14">
        <f>#REF!</f>
        <v>427.93387999999993</v>
      </c>
      <c r="W28" s="14">
        <f>#REF!</f>
        <v>360.67856</v>
      </c>
      <c r="X28" s="14">
        <f>#REF!</f>
        <v>229.39619999999999</v>
      </c>
      <c r="Y28" s="14">
        <f>#REF!</f>
        <v>515.69275999999991</v>
      </c>
      <c r="Z28" s="14">
        <f>#REF!</f>
        <v>391.07495680000005</v>
      </c>
      <c r="AA28" s="14">
        <f>#REF!</f>
        <v>401.14668</v>
      </c>
      <c r="AB28" s="14">
        <f>#REF!</f>
        <v>433.59667999999999</v>
      </c>
      <c r="AC28" s="14">
        <f>#REF!</f>
        <v>332.74647999999996</v>
      </c>
      <c r="AD28" s="14">
        <f>#REF!</f>
        <v>461.05708000000004</v>
      </c>
      <c r="AE28" s="14">
        <f>#REF!</f>
        <v>343.90247759999994</v>
      </c>
      <c r="AF28" s="14">
        <f>#REF!</f>
        <v>399.48303999999996</v>
      </c>
      <c r="AG28" s="14">
        <f>#REF!</f>
        <v>597.40603999999996</v>
      </c>
      <c r="AH28" s="14">
        <f>#REF!</f>
        <v>623.97631999999999</v>
      </c>
      <c r="AI28" s="14">
        <f>#REF!</f>
        <v>457.79579999999999</v>
      </c>
      <c r="AJ28" s="14">
        <f>#REF!</f>
        <v>453.53203719999999</v>
      </c>
      <c r="AK28" s="14">
        <f>#REF!</f>
        <v>409.08510719999998</v>
      </c>
      <c r="AL28" s="15">
        <f t="shared" si="15"/>
        <v>7.7699458556574905E-3</v>
      </c>
      <c r="AM28" s="15">
        <f t="shared" si="16"/>
        <v>7.4158275065212605E-3</v>
      </c>
      <c r="AN28" s="15">
        <f t="shared" si="17"/>
        <v>0.15223556822406736</v>
      </c>
      <c r="AO28" s="10"/>
      <c r="AP28" s="16">
        <f t="shared" si="18"/>
        <v>-9.8001742664983252E-2</v>
      </c>
      <c r="AQ28" s="17">
        <f t="shared" si="19"/>
        <v>-44.446930000000009</v>
      </c>
      <c r="AS28" s="17">
        <f t="shared" si="9"/>
        <v>-4.4446930000000009E-2</v>
      </c>
      <c r="AU28" s="18">
        <f t="shared" si="20"/>
        <v>0.53368350728209413</v>
      </c>
      <c r="AW28" s="18">
        <f t="shared" si="21"/>
        <v>-0.11272351093708409</v>
      </c>
      <c r="AY28" s="21"/>
    </row>
    <row r="29" spans="1:55" outlineLevel="1" x14ac:dyDescent="0.25">
      <c r="A29" s="13" t="s">
        <v>36</v>
      </c>
      <c r="B29" s="14">
        <f>#REF!</f>
        <v>96.677023188405784</v>
      </c>
      <c r="C29" s="14">
        <f>#REF!</f>
        <v>99.628382821946872</v>
      </c>
      <c r="D29" s="14">
        <f>#REF!</f>
        <v>118.08579710144927</v>
      </c>
      <c r="E29" s="14">
        <f>#REF!</f>
        <v>99.875217391304361</v>
      </c>
      <c r="F29" s="14">
        <f>#REF!</f>
        <v>98.719420289855051</v>
      </c>
      <c r="G29" s="14">
        <f>#REF!</f>
        <v>86.267101449275344</v>
      </c>
      <c r="H29" s="14">
        <f>#REF!</f>
        <v>87.18695652173912</v>
      </c>
      <c r="I29" s="14">
        <f>#REF!</f>
        <v>82.633913043478259</v>
      </c>
      <c r="J29" s="14">
        <f>#REF!</f>
        <v>95.371594202898564</v>
      </c>
      <c r="K29" s="14">
        <f>#REF!</f>
        <v>103.53391304347825</v>
      </c>
      <c r="L29" s="14">
        <f>#REF!</f>
        <v>91.8436231884058</v>
      </c>
      <c r="M29" s="14">
        <f>#REF!</f>
        <v>83.63666666666667</v>
      </c>
      <c r="N29" s="14">
        <f>#REF!</f>
        <v>80.805362318840594</v>
      </c>
      <c r="O29" s="14">
        <f>#REF!</f>
        <v>78.482608695652175</v>
      </c>
      <c r="P29" s="14">
        <f>#REF!</f>
        <v>66.857681159420295</v>
      </c>
      <c r="Q29" s="14">
        <f>#REF!</f>
        <v>60.814599999999999</v>
      </c>
      <c r="R29" s="14">
        <f>#REF!</f>
        <v>64.755533333333346</v>
      </c>
      <c r="S29" s="14">
        <f>#REF!</f>
        <v>50.899933333333344</v>
      </c>
      <c r="T29" s="14">
        <f>#REF!</f>
        <v>66.973133333333351</v>
      </c>
      <c r="U29" s="14">
        <f>#REF!</f>
        <v>89.020800000000008</v>
      </c>
      <c r="V29" s="14">
        <f>#REF!</f>
        <v>98.243200000000016</v>
      </c>
      <c r="W29" s="14">
        <f>#REF!</f>
        <v>70.265799999999999</v>
      </c>
      <c r="X29" s="14">
        <f>#REF!</f>
        <v>46.351066666666675</v>
      </c>
      <c r="Y29" s="14">
        <f>#REF!</f>
        <v>47.090266666666672</v>
      </c>
      <c r="Z29" s="14">
        <f>#REF!</f>
        <v>54.549733333333336</v>
      </c>
      <c r="AA29" s="14">
        <f>#REF!</f>
        <v>64.265666666666661</v>
      </c>
      <c r="AB29" s="14">
        <f>#REF!</f>
        <v>81.790133333333344</v>
      </c>
      <c r="AC29" s="14">
        <f>#REF!</f>
        <v>83.988666666666674</v>
      </c>
      <c r="AD29" s="14">
        <f>#REF!</f>
        <v>90.42880000000001</v>
      </c>
      <c r="AE29" s="14">
        <f>#REF!</f>
        <v>96.082066666666663</v>
      </c>
      <c r="AF29" s="14">
        <f>#REF!</f>
        <v>110.17820000000002</v>
      </c>
      <c r="AG29" s="14">
        <f>#REF!</f>
        <v>106.40373333333334</v>
      </c>
      <c r="AH29" s="14">
        <f>#REF!</f>
        <v>143.90640000000002</v>
      </c>
      <c r="AI29" s="14">
        <f>#REF!</f>
        <v>139.22972077294688</v>
      </c>
      <c r="AJ29" s="14">
        <f>#REF!</f>
        <v>173.39875962720419</v>
      </c>
      <c r="AK29" s="14">
        <f>#REF!</f>
        <v>143.96768115942032</v>
      </c>
      <c r="AL29" s="15">
        <f t="shared" si="15"/>
        <v>2.7344458839621551E-3</v>
      </c>
      <c r="AM29" s="15">
        <f t="shared" si="16"/>
        <v>2.6098224335263992E-3</v>
      </c>
      <c r="AN29" s="15">
        <f t="shared" si="17"/>
        <v>0.48916129615258969</v>
      </c>
      <c r="AO29" s="10"/>
      <c r="AP29" s="16">
        <f t="shared" si="18"/>
        <v>-0.1697306170531942</v>
      </c>
      <c r="AQ29" s="17">
        <f t="shared" si="19"/>
        <v>-29.431078467783863</v>
      </c>
      <c r="AS29" s="17">
        <f t="shared" si="9"/>
        <v>-2.9431078467783863E-2</v>
      </c>
      <c r="AU29" s="18">
        <f t="shared" si="20"/>
        <v>1.367321024218203</v>
      </c>
      <c r="AW29" s="18">
        <f t="shared" si="21"/>
        <v>0.59205564111677156</v>
      </c>
      <c r="AY29" s="21"/>
    </row>
    <row r="30" spans="1:55" outlineLevel="1" x14ac:dyDescent="0.25">
      <c r="A30" s="13" t="s">
        <v>37</v>
      </c>
      <c r="B30" s="14">
        <f>#REF!</f>
        <v>723.07784151514841</v>
      </c>
      <c r="C30" s="14">
        <f>#REF!</f>
        <v>750.88852772726921</v>
      </c>
      <c r="D30" s="14">
        <f>#REF!</f>
        <v>761.3175350568149</v>
      </c>
      <c r="E30" s="14">
        <f>#REF!</f>
        <v>764.79387083332995</v>
      </c>
      <c r="F30" s="14">
        <f>#REF!</f>
        <v>869.08394412878408</v>
      </c>
      <c r="G30" s="14">
        <f>#REF!</f>
        <v>997.70836785984386</v>
      </c>
      <c r="H30" s="14">
        <f>#REF!</f>
        <v>803.03356437499644</v>
      </c>
      <c r="I30" s="14">
        <f>#REF!</f>
        <v>830.84425058711759</v>
      </c>
      <c r="J30" s="14">
        <f>#REF!</f>
        <v>823.89157903408716</v>
      </c>
      <c r="K30" s="14">
        <f>#REF!</f>
        <v>869.08394412878408</v>
      </c>
      <c r="L30" s="14">
        <f>#REF!</f>
        <v>900.37096611742027</v>
      </c>
      <c r="M30" s="14">
        <f>#REF!</f>
        <v>910.79997344696551</v>
      </c>
      <c r="N30" s="14">
        <f>#REF!</f>
        <v>914.27630922348078</v>
      </c>
      <c r="O30" s="14">
        <f>#REF!</f>
        <v>917.75264499999571</v>
      </c>
      <c r="P30" s="14">
        <f>#REF!</f>
        <v>879.51295145832944</v>
      </c>
      <c r="Q30" s="14">
        <f>#REF!</f>
        <v>943.78401985771598</v>
      </c>
      <c r="R30" s="14">
        <f>#REF!</f>
        <v>904.75785767385571</v>
      </c>
      <c r="S30" s="14">
        <f>#REF!</f>
        <v>859.0597220842551</v>
      </c>
      <c r="T30" s="14">
        <f>#REF!</f>
        <v>929.49684859773402</v>
      </c>
      <c r="U30" s="14">
        <f>#REF!</f>
        <v>788.40909980042272</v>
      </c>
      <c r="V30" s="14">
        <f>#REF!</f>
        <v>745.71686526643111</v>
      </c>
      <c r="W30" s="14">
        <f>#REF!</f>
        <v>714.47450090494692</v>
      </c>
      <c r="X30" s="14">
        <f>#REF!</f>
        <v>680.81517379975094</v>
      </c>
      <c r="Y30" s="14">
        <f>#REF!</f>
        <v>590.39470623732518</v>
      </c>
      <c r="Z30" s="14">
        <f>#REF!</f>
        <v>529.00222385419227</v>
      </c>
      <c r="AA30" s="14">
        <f>#REF!</f>
        <v>509.62622568842954</v>
      </c>
      <c r="AB30" s="14">
        <f>#REF!</f>
        <v>535.12228288219046</v>
      </c>
      <c r="AC30" s="14">
        <f>#REF!</f>
        <v>554.55875658682862</v>
      </c>
      <c r="AD30" s="14">
        <f>#REF!</f>
        <v>589.69157573857956</v>
      </c>
      <c r="AE30" s="14">
        <f>#REF!</f>
        <v>609.87730095474478</v>
      </c>
      <c r="AF30" s="14">
        <f>#REF!</f>
        <v>650.30503802564874</v>
      </c>
      <c r="AG30" s="14">
        <f>#REF!</f>
        <v>642.34371972280621</v>
      </c>
      <c r="AH30" s="14">
        <f>#REF!</f>
        <v>852.65982131787541</v>
      </c>
      <c r="AI30" s="14">
        <f>#REF!</f>
        <v>723.27981651305049</v>
      </c>
      <c r="AJ30" s="14">
        <f>#REF!</f>
        <v>739.39464045647514</v>
      </c>
      <c r="AK30" s="14">
        <f>#REF!</f>
        <v>808.51025267581758</v>
      </c>
      <c r="AL30" s="15">
        <f t="shared" si="15"/>
        <v>1.5356415514690875E-2</v>
      </c>
      <c r="AM30" s="15">
        <f t="shared" si="16"/>
        <v>1.4656540816496835E-2</v>
      </c>
      <c r="AN30" s="15">
        <f t="shared" si="17"/>
        <v>0.11815105685115836</v>
      </c>
      <c r="AO30" s="10"/>
      <c r="AP30" s="16">
        <f t="shared" si="18"/>
        <v>9.3475944289605609E-2</v>
      </c>
      <c r="AQ30" s="17">
        <f t="shared" si="19"/>
        <v>69.115612219342438</v>
      </c>
      <c r="AS30" s="17">
        <f t="shared" si="9"/>
        <v>6.911561221934244E-2</v>
      </c>
      <c r="AU30" s="18">
        <f t="shared" si="20"/>
        <v>-0.14333127530840387</v>
      </c>
      <c r="AW30" s="18">
        <f t="shared" si="21"/>
        <v>0.37107309302014535</v>
      </c>
      <c r="AY30" s="21"/>
    </row>
    <row r="31" spans="1:55" outlineLevel="1" x14ac:dyDescent="0.25">
      <c r="A31" s="13" t="s">
        <v>38</v>
      </c>
      <c r="B31" s="14">
        <f>(#REF!+#REF!)</f>
        <v>87.792945608757037</v>
      </c>
      <c r="C31" s="14">
        <f>(#REF!+#REF!)</f>
        <v>94.873641077770003</v>
      </c>
      <c r="D31" s="14">
        <f>(#REF!+#REF!)</f>
        <v>101.04152842696728</v>
      </c>
      <c r="E31" s="14">
        <f>(#REF!+#REF!)</f>
        <v>113.07915998108203</v>
      </c>
      <c r="F31" s="14">
        <f>(#REF!+#REF!)</f>
        <v>117.85026712009162</v>
      </c>
      <c r="G31" s="14">
        <f>(#REF!+#REF!)</f>
        <v>158.45818020153698</v>
      </c>
      <c r="H31" s="14">
        <f>(#REF!+#REF!)</f>
        <v>135.2120000835651</v>
      </c>
      <c r="I31" s="14">
        <f>(#REF!+#REF!)</f>
        <v>119.21641618531905</v>
      </c>
      <c r="J31" s="14">
        <f>(#REF!+#REF!)</f>
        <v>131.74945545725768</v>
      </c>
      <c r="K31" s="14">
        <f>(#REF!+#REF!)</f>
        <v>116.24846244630325</v>
      </c>
      <c r="L31" s="14">
        <f>(#REF!+#REF!)</f>
        <v>113.17187024649508</v>
      </c>
      <c r="M31" s="14">
        <f>(#REF!+#REF!)</f>
        <v>115.09795664159599</v>
      </c>
      <c r="N31" s="14">
        <f>(#REF!+#REF!)</f>
        <v>98.815256811255836</v>
      </c>
      <c r="O31" s="14">
        <f>(#REF!+#REF!)</f>
        <v>142.11868200708247</v>
      </c>
      <c r="P31" s="14">
        <f>(#REF!+#REF!)</f>
        <v>161.60614805975348</v>
      </c>
      <c r="Q31" s="14">
        <f>(#REF!+#REF!)</f>
        <v>144.85608341284475</v>
      </c>
      <c r="R31" s="14">
        <f>(#REF!+#REF!)</f>
        <v>129.39220551562343</v>
      </c>
      <c r="S31" s="14">
        <f>(#REF!+#REF!)</f>
        <v>120.66723161316608</v>
      </c>
      <c r="T31" s="14">
        <f>(#REF!+#REF!)</f>
        <v>103.58890081656772</v>
      </c>
      <c r="U31" s="14">
        <f>(#REF!+#REF!)</f>
        <v>96.859496755999345</v>
      </c>
      <c r="V31" s="14">
        <f>(#REF!+#REF!)</f>
        <v>76.13402775896985</v>
      </c>
      <c r="W31" s="14">
        <f>(#REF!+#REF!)</f>
        <v>63.062334421648423</v>
      </c>
      <c r="X31" s="14">
        <f>(#REF!+#REF!)</f>
        <v>69.810792636750492</v>
      </c>
      <c r="Y31" s="14">
        <f>(#REF!+#REF!)</f>
        <v>77.680430687682218</v>
      </c>
      <c r="Z31" s="14">
        <f>(#REF!+#REF!)</f>
        <v>74.014066691240913</v>
      </c>
      <c r="AA31" s="14">
        <f>(#REF!+#REF!)</f>
        <v>65.071496520437094</v>
      </c>
      <c r="AB31" s="14">
        <f>(#REF!+#REF!)</f>
        <v>59.75217083200944</v>
      </c>
      <c r="AC31" s="14">
        <f>(#REF!+#REF!)</f>
        <v>70.755959493978764</v>
      </c>
      <c r="AD31" s="14">
        <f>(#REF!+#REF!)</f>
        <v>84.456069343585312</v>
      </c>
      <c r="AE31" s="14">
        <f>(#REF!+#REF!)</f>
        <v>72.920534723770871</v>
      </c>
      <c r="AF31" s="14">
        <f>(#REF!+#REF!)</f>
        <v>59.439864209311182</v>
      </c>
      <c r="AG31" s="14">
        <f>(#REF!+#REF!)</f>
        <v>58.155267126107894</v>
      </c>
      <c r="AH31" s="14">
        <f>(#REF!+#REF!)</f>
        <v>53.577660351936274</v>
      </c>
      <c r="AI31" s="14">
        <f>(#REF!+#REF!)</f>
        <v>63.187856821462169</v>
      </c>
      <c r="AJ31" s="14">
        <f>(#REF!+#REF!)</f>
        <v>65.12724557430721</v>
      </c>
      <c r="AK31" s="14">
        <f>(#REF!+#REF!)</f>
        <v>65.12724557430721</v>
      </c>
      <c r="AL31" s="15">
        <f t="shared" si="15"/>
        <v>1.2369924080200688E-3</v>
      </c>
      <c r="AM31" s="15">
        <f t="shared" si="16"/>
        <v>1.1806159907889026E-3</v>
      </c>
      <c r="AN31" s="15">
        <f t="shared" si="17"/>
        <v>-0.25817222417229163</v>
      </c>
      <c r="AO31" s="10"/>
      <c r="AP31" s="16">
        <f t="shared" si="18"/>
        <v>0</v>
      </c>
      <c r="AQ31" s="17">
        <f t="shared" si="19"/>
        <v>0</v>
      </c>
      <c r="AS31" s="17">
        <f t="shared" si="9"/>
        <v>0</v>
      </c>
      <c r="AU31" s="18">
        <f t="shared" si="20"/>
        <v>-0.55040034191251497</v>
      </c>
      <c r="AW31" s="18">
        <f t="shared" si="21"/>
        <v>-0.22886245973210431</v>
      </c>
      <c r="AY31" s="21"/>
    </row>
    <row r="32" spans="1:55" x14ac:dyDescent="0.25">
      <c r="A32" s="20" t="s">
        <v>39</v>
      </c>
      <c r="B32" s="8">
        <f t="shared" ref="B32" si="24">SUM(B33:B36)</f>
        <v>1709.2379654880638</v>
      </c>
      <c r="C32" s="8">
        <f t="shared" ref="C32:AK32" si="25">SUM(C33:C36)</f>
        <v>1799.7259717319207</v>
      </c>
      <c r="D32" s="8">
        <f t="shared" si="25"/>
        <v>1872.6110167758227</v>
      </c>
      <c r="E32" s="8">
        <f t="shared" si="25"/>
        <v>1928.635396083811</v>
      </c>
      <c r="F32" s="8">
        <f t="shared" si="25"/>
        <v>1978.8855789392078</v>
      </c>
      <c r="G32" s="8">
        <f t="shared" si="25"/>
        <v>2019.7605435458233</v>
      </c>
      <c r="H32" s="8">
        <f t="shared" si="25"/>
        <v>1884.4315270557624</v>
      </c>
      <c r="I32" s="8">
        <f t="shared" si="25"/>
        <v>1576.982250910261</v>
      </c>
      <c r="J32" s="8">
        <f t="shared" si="25"/>
        <v>1626.6006654526207</v>
      </c>
      <c r="K32" s="8">
        <f t="shared" si="25"/>
        <v>1630.7580838813492</v>
      </c>
      <c r="L32" s="8">
        <f t="shared" si="25"/>
        <v>1643.2779552875486</v>
      </c>
      <c r="M32" s="8">
        <f t="shared" si="25"/>
        <v>1766.8598970748044</v>
      </c>
      <c r="N32" s="8">
        <f t="shared" si="25"/>
        <v>1880.8930105084603</v>
      </c>
      <c r="O32" s="8">
        <f t="shared" si="25"/>
        <v>1935.8113668287185</v>
      </c>
      <c r="P32" s="8">
        <f t="shared" si="25"/>
        <v>1656.7174768324844</v>
      </c>
      <c r="Q32" s="8">
        <f t="shared" si="25"/>
        <v>1454.2732283395637</v>
      </c>
      <c r="R32" s="8">
        <f t="shared" si="25"/>
        <v>1489.0608120747911</v>
      </c>
      <c r="S32" s="8">
        <f t="shared" si="25"/>
        <v>962.33999441077253</v>
      </c>
      <c r="T32" s="8">
        <f t="shared" si="25"/>
        <v>800.17858585700117</v>
      </c>
      <c r="U32" s="8">
        <f t="shared" si="25"/>
        <v>603.78478589667623</v>
      </c>
      <c r="V32" s="8">
        <f t="shared" si="25"/>
        <v>594.31068292949431</v>
      </c>
      <c r="W32" s="8">
        <f t="shared" si="25"/>
        <v>688.42779394361185</v>
      </c>
      <c r="X32" s="8">
        <f t="shared" si="25"/>
        <v>594.26965456386324</v>
      </c>
      <c r="Y32" s="8">
        <f t="shared" si="25"/>
        <v>764.64137999478999</v>
      </c>
      <c r="Z32" s="8">
        <f t="shared" si="25"/>
        <v>949.68601610714018</v>
      </c>
      <c r="AA32" s="8">
        <f t="shared" si="25"/>
        <v>1025.8248980477192</v>
      </c>
      <c r="AB32" s="8">
        <f t="shared" si="25"/>
        <v>1019.2945208107094</v>
      </c>
      <c r="AC32" s="8">
        <f t="shared" si="25"/>
        <v>988.0756943528088</v>
      </c>
      <c r="AD32" s="8">
        <f t="shared" si="25"/>
        <v>943.37653365285883</v>
      </c>
      <c r="AE32" s="8">
        <f t="shared" si="25"/>
        <v>908.39164361748965</v>
      </c>
      <c r="AF32" s="8">
        <f t="shared" si="25"/>
        <v>888.9153915942502</v>
      </c>
      <c r="AG32" s="8">
        <f t="shared" si="25"/>
        <v>833.96672898270162</v>
      </c>
      <c r="AH32" s="8">
        <f t="shared" si="25"/>
        <v>879.58421071363273</v>
      </c>
      <c r="AI32" s="8">
        <f t="shared" si="25"/>
        <v>840.93361055304717</v>
      </c>
      <c r="AJ32" s="8">
        <f t="shared" si="25"/>
        <v>822.64954636994128</v>
      </c>
      <c r="AK32" s="8">
        <f t="shared" si="25"/>
        <v>819.53686301069376</v>
      </c>
      <c r="AL32" s="9">
        <f t="shared" si="15"/>
        <v>1.5565849111185833E-2</v>
      </c>
      <c r="AM32" s="9">
        <f t="shared" si="16"/>
        <v>1.4856429394168983E-2</v>
      </c>
      <c r="AN32" s="9">
        <f t="shared" si="17"/>
        <v>-0.52052500613822994</v>
      </c>
      <c r="AO32" s="10"/>
      <c r="AP32" s="11">
        <f t="shared" si="18"/>
        <v>-3.7837295030218794E-3</v>
      </c>
      <c r="AQ32" s="12">
        <f t="shared" si="19"/>
        <v>-3.1126833592475123</v>
      </c>
      <c r="AS32" s="12">
        <f t="shared" si="9"/>
        <v>-3.1126833592475121E-3</v>
      </c>
      <c r="AU32" s="9">
        <f t="shared" si="20"/>
        <v>-0.43646293761014143</v>
      </c>
      <c r="AW32" s="9">
        <f t="shared" si="21"/>
        <v>-0.13127279111199014</v>
      </c>
    </row>
    <row r="33" spans="1:51" outlineLevel="1" x14ac:dyDescent="0.25">
      <c r="A33" s="13" t="s">
        <v>40</v>
      </c>
      <c r="B33" s="14">
        <f>#REF!*28</f>
        <v>1476.2440052032955</v>
      </c>
      <c r="C33" s="14">
        <f>#REF!*28</f>
        <v>1566.4053883747692</v>
      </c>
      <c r="D33" s="14">
        <f>#REF!*28</f>
        <v>1636.804891871742</v>
      </c>
      <c r="E33" s="14">
        <f>#REF!*28</f>
        <v>1691.858702032943</v>
      </c>
      <c r="F33" s="14">
        <f>#REF!*28</f>
        <v>1742.7939278700369</v>
      </c>
      <c r="G33" s="14">
        <f>#REF!*28</f>
        <v>1783.8901811031583</v>
      </c>
      <c r="H33" s="14">
        <f>#REF!*28</f>
        <v>1648.4623349545939</v>
      </c>
      <c r="I33" s="14">
        <f>#REF!*28</f>
        <v>1358.1527343397249</v>
      </c>
      <c r="J33" s="14">
        <f>#REF!*28</f>
        <v>1414.9422289801573</v>
      </c>
      <c r="K33" s="14">
        <f>#REF!*28</f>
        <v>1412.537929922556</v>
      </c>
      <c r="L33" s="14">
        <f>#REF!*28</f>
        <v>1420.2367306818162</v>
      </c>
      <c r="M33" s="14">
        <f>#REF!*28</f>
        <v>1528.0990541803956</v>
      </c>
      <c r="N33" s="14">
        <f>#REF!*28</f>
        <v>1610.0739135694294</v>
      </c>
      <c r="O33" s="14">
        <f>#REF!*28</f>
        <v>1631.9172338696078</v>
      </c>
      <c r="P33" s="14">
        <f>#REF!*28</f>
        <v>1340.4552857027031</v>
      </c>
      <c r="Q33" s="14">
        <f>#REF!*28</f>
        <v>1139.7880884758854</v>
      </c>
      <c r="R33" s="14">
        <f>#REF!*28</f>
        <v>1191.2278376327126</v>
      </c>
      <c r="S33" s="14">
        <f>#REF!*28</f>
        <v>708.99528198119174</v>
      </c>
      <c r="T33" s="14">
        <f>#REF!*28</f>
        <v>540.93260898724964</v>
      </c>
      <c r="U33" s="14">
        <f>#REF!*28</f>
        <v>342.15331319283058</v>
      </c>
      <c r="V33" s="14">
        <f>#REF!*28</f>
        <v>336.5209219157008</v>
      </c>
      <c r="W33" s="14">
        <f>#REF!*28</f>
        <v>449.98575791706236</v>
      </c>
      <c r="X33" s="14">
        <f>#REF!*28</f>
        <v>356.45668877291683</v>
      </c>
      <c r="Y33" s="14">
        <f>#REF!*28</f>
        <v>525.3000661606543</v>
      </c>
      <c r="Z33" s="14">
        <f>#REF!*28</f>
        <v>721.54404316658145</v>
      </c>
      <c r="AA33" s="14">
        <f>#REF!*28</f>
        <v>792.34928466402675</v>
      </c>
      <c r="AB33" s="14">
        <f>#REF!*28</f>
        <v>803.00803713759967</v>
      </c>
      <c r="AC33" s="14">
        <f>#REF!*28</f>
        <v>755.84955540806993</v>
      </c>
      <c r="AD33" s="14">
        <f>#REF!*28</f>
        <v>713.81602356686335</v>
      </c>
      <c r="AE33" s="14">
        <f>#REF!*28</f>
        <v>664.48948116698216</v>
      </c>
      <c r="AF33" s="14">
        <f>#REF!*28</f>
        <v>643.63993385548952</v>
      </c>
      <c r="AG33" s="14">
        <f>#REF!*28</f>
        <v>589.42534621307084</v>
      </c>
      <c r="AH33" s="14">
        <f>#REF!*28</f>
        <v>634.02948442666207</v>
      </c>
      <c r="AI33" s="14">
        <f>#REF!*28</f>
        <v>593.87082029161502</v>
      </c>
      <c r="AJ33" s="14">
        <f>#REF!*28</f>
        <v>585.61538143807229</v>
      </c>
      <c r="AK33" s="14">
        <f>#REF!*28</f>
        <v>580.47174916662448</v>
      </c>
      <c r="AL33" s="15">
        <f t="shared" si="15"/>
        <v>1.1025172958834782E-2</v>
      </c>
      <c r="AM33" s="15">
        <f t="shared" si="16"/>
        <v>1.0522696349646931E-2</v>
      </c>
      <c r="AN33" s="15">
        <f t="shared" si="17"/>
        <v>-0.60679146054402644</v>
      </c>
      <c r="AO33" s="10"/>
      <c r="AP33" s="16">
        <f t="shared" si="18"/>
        <v>-8.7832943506654521E-3</v>
      </c>
      <c r="AQ33" s="17">
        <f t="shared" si="19"/>
        <v>-5.1436322714478138</v>
      </c>
      <c r="AS33" s="17">
        <f t="shared" si="9"/>
        <v>-5.1436322714478134E-3</v>
      </c>
      <c r="AU33" s="18">
        <f t="shared" si="20"/>
        <v>-0.49071958635501606</v>
      </c>
      <c r="AW33" s="18">
        <f t="shared" si="21"/>
        <v>-0.18680482084715835</v>
      </c>
    </row>
    <row r="34" spans="1:51" outlineLevel="1" x14ac:dyDescent="0.25">
      <c r="A34" s="13" t="s">
        <v>41</v>
      </c>
      <c r="B34" s="14" t="str">
        <f>IF((#REF!*28)+(#REF!*265)=0, "NO", (#REF!*28)+(#REF!*265))</f>
        <v>NO</v>
      </c>
      <c r="C34" s="14" t="str">
        <f>IF((#REF!*28)+(#REF!*265)=0, "NO", (#REF!*28)+(#REF!*265))</f>
        <v>NO</v>
      </c>
      <c r="D34" s="14" t="str">
        <f>IF((#REF!*28)+(#REF!*265)=0, "NO", (#REF!*28)+(#REF!*265))</f>
        <v>NO</v>
      </c>
      <c r="E34" s="14" t="str">
        <f>IF((#REF!*28)+(#REF!*265)=0, "NO", (#REF!*28)+(#REF!*265))</f>
        <v>NO</v>
      </c>
      <c r="F34" s="14" t="str">
        <f>IF((#REF!*28)+(#REF!*265)=0, "NO", (#REF!*28)+(#REF!*265))</f>
        <v>NO</v>
      </c>
      <c r="G34" s="14" t="str">
        <f>IF((#REF!*28)+(#REF!*265)=0, "NO", (#REF!*28)+(#REF!*265))</f>
        <v>NO</v>
      </c>
      <c r="H34" s="14" t="str">
        <f>IF((#REF!*28)+(#REF!*265)=0, "NO", (#REF!*28)+(#REF!*265))</f>
        <v>NO</v>
      </c>
      <c r="I34" s="14" t="str">
        <f>IF((#REF!*28)+(#REF!*265)=0, "NO", (#REF!*28)+(#REF!*265))</f>
        <v>NO</v>
      </c>
      <c r="J34" s="14" t="str">
        <f>IF((#REF!*28)+(#REF!*265)=0, "NO", (#REF!*28)+(#REF!*265))</f>
        <v>NO</v>
      </c>
      <c r="K34" s="14" t="str">
        <f>IF((#REF!*28)+(#REF!*265)=0, "NO", (#REF!*28)+(#REF!*265))</f>
        <v>NO</v>
      </c>
      <c r="L34" s="14" t="str">
        <f>IF((#REF!*28)+(#REF!*265)=0, "NO", (#REF!*28)+(#REF!*265))</f>
        <v>NO</v>
      </c>
      <c r="M34" s="14">
        <f>IF((#REF!*28)+(#REF!*265)=0, "NO", (#REF!*28)+(#REF!*265))</f>
        <v>3.9041147999999999</v>
      </c>
      <c r="N34" s="14">
        <f>IF((#REF!*28)+(#REF!*265)=0, "NO", (#REF!*28)+(#REF!*265))</f>
        <v>5.9726827999999994</v>
      </c>
      <c r="O34" s="14">
        <f>IF((#REF!*28)+(#REF!*265)=0, "NO", (#REF!*28)+(#REF!*265))</f>
        <v>8.3072848000000015</v>
      </c>
      <c r="P34" s="14">
        <f>IF((#REF!*28)+(#REF!*265)=0, "NO", (#REF!*28)+(#REF!*265))</f>
        <v>34.960379600000003</v>
      </c>
      <c r="Q34" s="14">
        <f>IF((#REF!*28)+(#REF!*265)=0, "NO", (#REF!*28)+(#REF!*265))</f>
        <v>47.649235599999997</v>
      </c>
      <c r="R34" s="14">
        <f>IF((#REF!*28)+(#REF!*265)=0, "NO", (#REF!*28)+(#REF!*265))</f>
        <v>38.1917708</v>
      </c>
      <c r="S34" s="14">
        <f>IF((#REF!*28)+(#REF!*265)=0, "NO", (#REF!*28)+(#REF!*265))</f>
        <v>37.751190399999999</v>
      </c>
      <c r="T34" s="14">
        <f>IF((#REF!*28)+(#REF!*265)=0, "NO", (#REF!*28)+(#REF!*265))</f>
        <v>49.80138920000001</v>
      </c>
      <c r="U34" s="14">
        <f>IF((#REF!*28)+(#REF!*265)=0, "NO", (#REF!*28)+(#REF!*265))</f>
        <v>49.124275600000004</v>
      </c>
      <c r="V34" s="14">
        <f>IF((#REF!*28)+(#REF!*265)=0, "NO", (#REF!*28)+(#REF!*265))</f>
        <v>50.026312400000002</v>
      </c>
      <c r="W34" s="14">
        <f>IF((#REF!*28)+(#REF!*265)=0, "NO", (#REF!*28)+(#REF!*265))</f>
        <v>49.850344800000009</v>
      </c>
      <c r="X34" s="14">
        <f>IF((#REF!*28)+(#REF!*265)=0, "NO", (#REF!*28)+(#REF!*265))</f>
        <v>45.3094988</v>
      </c>
      <c r="Y34" s="14">
        <f>IF((#REF!*28)+(#REF!*265)=0, "NO", (#REF!*28)+(#REF!*265))</f>
        <v>45.739387999999998</v>
      </c>
      <c r="Z34" s="14">
        <f>IF((#REF!*28)+(#REF!*265)=0, "NO", (#REF!*28)+(#REF!*265))</f>
        <v>42.4878316</v>
      </c>
      <c r="AA34" s="14">
        <f>IF((#REF!*28)+(#REF!*265)=0, "NO", (#REF!*28)+(#REF!*265))</f>
        <v>41.596695200000006</v>
      </c>
      <c r="AB34" s="14">
        <f>IF((#REF!*28)+(#REF!*265)=0, "NO", (#REF!*28)+(#REF!*265))</f>
        <v>40.990482400000005</v>
      </c>
      <c r="AC34" s="14">
        <f>IF((#REF!*28)+(#REF!*265)=0, "NO", (#REF!*28)+(#REF!*265))</f>
        <v>46.863633920362403</v>
      </c>
      <c r="AD34" s="14">
        <f>IF((#REF!*28)+(#REF!*265)=0, "NO", (#REF!*28)+(#REF!*265))</f>
        <v>45.793105543440078</v>
      </c>
      <c r="AE34" s="14">
        <f>IF((#REF!*28)+(#REF!*265)=0, "NO", (#REF!*28)+(#REF!*265))</f>
        <v>49.31299925731733</v>
      </c>
      <c r="AF34" s="14">
        <f>IF((#REF!*28)+(#REF!*265)=0, "NO", (#REF!*28)+(#REF!*265))</f>
        <v>48.144307363679999</v>
      </c>
      <c r="AG34" s="14">
        <f>IF((#REF!*28)+(#REF!*265)=0, "NO", (#REF!*28)+(#REF!*265))</f>
        <v>43.259350754436866</v>
      </c>
      <c r="AH34" s="14">
        <f>IF((#REF!*28)+(#REF!*265)=0, "NO", (#REF!*28)+(#REF!*265))</f>
        <v>38.968717775753049</v>
      </c>
      <c r="AI34" s="14">
        <f>IF((#REF!*28)+(#REF!*265)=0, "NO", (#REF!*28)+(#REF!*265))</f>
        <v>39.320770946599993</v>
      </c>
      <c r="AJ34" s="14">
        <f>IF((#REF!*28)+(#REF!*265)=0, "NO", (#REF!*28)+(#REF!*265))</f>
        <v>46.274082672611875</v>
      </c>
      <c r="AK34" s="14">
        <f>IF((#REF!*28)+(#REF!*265)=0, "NO", (#REF!*28)+(#REF!*265))</f>
        <v>45.4797031673153</v>
      </c>
      <c r="AL34" s="15">
        <f t="shared" si="15"/>
        <v>8.6381739379392977E-4</v>
      </c>
      <c r="AM34" s="15">
        <f t="shared" si="16"/>
        <v>8.244485751267137E-4</v>
      </c>
      <c r="AN34" s="15"/>
      <c r="AO34" s="10"/>
      <c r="AP34" s="16">
        <f t="shared" si="18"/>
        <v>-1.7166834206456195E-2</v>
      </c>
      <c r="AQ34" s="17">
        <f t="shared" si="19"/>
        <v>-0.79437950529657542</v>
      </c>
      <c r="AS34" s="17">
        <f t="shared" si="9"/>
        <v>-7.9437950529657542E-4</v>
      </c>
      <c r="AU34" s="18">
        <f t="shared" si="20"/>
        <v>-4.5531316617484149E-2</v>
      </c>
      <c r="AW34" s="18">
        <f t="shared" si="21"/>
        <v>-6.8438768763450421E-3</v>
      </c>
    </row>
    <row r="35" spans="1:51" outlineLevel="1" x14ac:dyDescent="0.25">
      <c r="A35" s="13" t="s">
        <v>42</v>
      </c>
      <c r="B35" s="14">
        <f>#REF!</f>
        <v>97.740765061882584</v>
      </c>
      <c r="C35" s="14">
        <f>#REF!</f>
        <v>97.88913255185517</v>
      </c>
      <c r="D35" s="14">
        <f>#REF!</f>
        <v>98.674091582228982</v>
      </c>
      <c r="E35" s="14">
        <f>#REF!</f>
        <v>99.486071387791299</v>
      </c>
      <c r="F35" s="14">
        <f>#REF!</f>
        <v>100.14640441176329</v>
      </c>
      <c r="G35" s="14">
        <f>#REF!</f>
        <v>100.61466015448265</v>
      </c>
      <c r="H35" s="14">
        <f>#REF!</f>
        <v>100.63183666576825</v>
      </c>
      <c r="I35" s="14">
        <f>#REF!</f>
        <v>84.748430635606638</v>
      </c>
      <c r="J35" s="14">
        <f>#REF!</f>
        <v>66.715771321119618</v>
      </c>
      <c r="K35" s="14">
        <f>#REF!</f>
        <v>74.599152005657388</v>
      </c>
      <c r="L35" s="14">
        <f>#REF!</f>
        <v>79.602870990238046</v>
      </c>
      <c r="M35" s="14">
        <f>#REF!</f>
        <v>88.811286706276093</v>
      </c>
      <c r="N35" s="14">
        <f>#REF!</f>
        <v>115.03357663120156</v>
      </c>
      <c r="O35" s="14">
        <f>#REF!</f>
        <v>162.09788443672096</v>
      </c>
      <c r="P35" s="14">
        <f>#REF!</f>
        <v>149.46809786056204</v>
      </c>
      <c r="Q35" s="14">
        <f>#REF!</f>
        <v>132.57234476718932</v>
      </c>
      <c r="R35" s="14">
        <f>#REF!</f>
        <v>130.19005777336207</v>
      </c>
      <c r="S35" s="14">
        <f>#REF!</f>
        <v>83.934111990741073</v>
      </c>
      <c r="T35" s="14">
        <f>#REF!</f>
        <v>69.02380495828794</v>
      </c>
      <c r="U35" s="14">
        <f>#REF!</f>
        <v>70.514412189651139</v>
      </c>
      <c r="V35" s="14">
        <f>#REF!</f>
        <v>62.072527439734159</v>
      </c>
      <c r="W35" s="14">
        <f>#REF!</f>
        <v>45.013958102736098</v>
      </c>
      <c r="X35" s="14">
        <f>#REF!</f>
        <v>48.286182233922162</v>
      </c>
      <c r="Y35" s="14">
        <f>#REF!</f>
        <v>45.127691648505646</v>
      </c>
      <c r="Z35" s="14">
        <f>#REF!</f>
        <v>41.651772593635819</v>
      </c>
      <c r="AA35" s="14">
        <f>#REF!</f>
        <v>42.393890563800774</v>
      </c>
      <c r="AB35" s="14">
        <f>#REF!</f>
        <v>25.030907769237675</v>
      </c>
      <c r="AC35" s="14">
        <f>#REF!</f>
        <v>27.449305898653076</v>
      </c>
      <c r="AD35" s="14">
        <f>#REF!</f>
        <v>23.899295638180405</v>
      </c>
      <c r="AE35" s="14">
        <f>#REF!</f>
        <v>32.524203919874395</v>
      </c>
      <c r="AF35" s="14">
        <f>#REF!</f>
        <v>31.188413817965916</v>
      </c>
      <c r="AG35" s="14">
        <f>#REF!</f>
        <v>34.611180998377201</v>
      </c>
      <c r="AH35" s="14">
        <f>#REF!</f>
        <v>36.374321164242211</v>
      </c>
      <c r="AI35" s="14">
        <f>#REF!</f>
        <v>35.034633692467686</v>
      </c>
      <c r="AJ35" s="14">
        <f>#REF!</f>
        <v>14.696479618137133</v>
      </c>
      <c r="AK35" s="14">
        <f>#REF!</f>
        <v>14.696479618137133</v>
      </c>
      <c r="AL35" s="15">
        <f t="shared" si="15"/>
        <v>2.7913714992775808E-4</v>
      </c>
      <c r="AM35" s="15">
        <f t="shared" si="16"/>
        <v>2.6641536414555262E-4</v>
      </c>
      <c r="AN35" s="15">
        <f t="shared" ref="AN35:AN44" si="26">(AK35-B35)/B35</f>
        <v>-0.84963817697935606</v>
      </c>
      <c r="AO35" s="10"/>
      <c r="AP35" s="16">
        <f t="shared" si="18"/>
        <v>0</v>
      </c>
      <c r="AQ35" s="17">
        <f t="shared" si="19"/>
        <v>0</v>
      </c>
      <c r="AS35" s="17">
        <f t="shared" si="9"/>
        <v>0</v>
      </c>
      <c r="AU35" s="18">
        <f t="shared" si="20"/>
        <v>-0.88914370003830234</v>
      </c>
      <c r="AW35" s="18">
        <f t="shared" si="21"/>
        <v>-0.3850664119716265</v>
      </c>
    </row>
    <row r="36" spans="1:51" outlineLevel="1" x14ac:dyDescent="0.25">
      <c r="A36" s="13" t="s">
        <v>43</v>
      </c>
      <c r="B36" s="14">
        <f>#REF!</f>
        <v>135.25319522288586</v>
      </c>
      <c r="C36" s="14">
        <f>#REF!</f>
        <v>135.43145080529615</v>
      </c>
      <c r="D36" s="14">
        <f>#REF!</f>
        <v>137.13203332185168</v>
      </c>
      <c r="E36" s="14">
        <f>#REF!</f>
        <v>137.29062266307653</v>
      </c>
      <c r="F36" s="14">
        <f>#REF!</f>
        <v>135.94524665740758</v>
      </c>
      <c r="G36" s="14">
        <f>#REF!</f>
        <v>135.25570228818248</v>
      </c>
      <c r="H36" s="14">
        <f>#REF!</f>
        <v>135.33735543540018</v>
      </c>
      <c r="I36" s="14">
        <f>#REF!</f>
        <v>134.08108593492943</v>
      </c>
      <c r="J36" s="14">
        <f>#REF!</f>
        <v>144.94266515134387</v>
      </c>
      <c r="K36" s="14">
        <f>#REF!</f>
        <v>143.62100195313579</v>
      </c>
      <c r="L36" s="14">
        <f>#REF!</f>
        <v>143.43835361549452</v>
      </c>
      <c r="M36" s="14">
        <f>#REF!</f>
        <v>146.04544138813282</v>
      </c>
      <c r="N36" s="14">
        <f>#REF!</f>
        <v>149.81283750782927</v>
      </c>
      <c r="O36" s="14">
        <f>#REF!</f>
        <v>133.48896372238977</v>
      </c>
      <c r="P36" s="14">
        <f>#REF!</f>
        <v>131.83371366921926</v>
      </c>
      <c r="Q36" s="14">
        <f>#REF!</f>
        <v>134.26355949648877</v>
      </c>
      <c r="R36" s="14">
        <f>#REF!</f>
        <v>129.45114586871648</v>
      </c>
      <c r="S36" s="14">
        <f>#REF!</f>
        <v>131.6594100388397</v>
      </c>
      <c r="T36" s="14">
        <f>#REF!</f>
        <v>140.4207827114636</v>
      </c>
      <c r="U36" s="14">
        <f>#REF!</f>
        <v>141.99278491419452</v>
      </c>
      <c r="V36" s="14">
        <f>#REF!</f>
        <v>145.69092117405938</v>
      </c>
      <c r="W36" s="14">
        <f>#REF!</f>
        <v>143.57773312381335</v>
      </c>
      <c r="X36" s="14">
        <f>#REF!</f>
        <v>144.21728475702423</v>
      </c>
      <c r="Y36" s="14">
        <f>#REF!</f>
        <v>148.47423418563005</v>
      </c>
      <c r="Z36" s="14">
        <f>#REF!</f>
        <v>144.00236874692294</v>
      </c>
      <c r="AA36" s="14">
        <f>#REF!</f>
        <v>149.4850276198917</v>
      </c>
      <c r="AB36" s="14">
        <f>#REF!</f>
        <v>150.26509350387198</v>
      </c>
      <c r="AC36" s="14">
        <f>#REF!</f>
        <v>157.91319912572345</v>
      </c>
      <c r="AD36" s="14">
        <f>#REF!</f>
        <v>159.86810890437488</v>
      </c>
      <c r="AE36" s="14">
        <f>#REF!</f>
        <v>162.06495927331579</v>
      </c>
      <c r="AF36" s="14">
        <f>#REF!</f>
        <v>165.94273655711476</v>
      </c>
      <c r="AG36" s="14">
        <f>#REF!</f>
        <v>166.67085101681667</v>
      </c>
      <c r="AH36" s="14">
        <f>#REF!</f>
        <v>170.21168734697534</v>
      </c>
      <c r="AI36" s="14">
        <f>#REF!</f>
        <v>172.70738562236448</v>
      </c>
      <c r="AJ36" s="14">
        <f>#REF!</f>
        <v>176.06360264112007</v>
      </c>
      <c r="AK36" s="14">
        <f>#REF!</f>
        <v>178.88893105861692</v>
      </c>
      <c r="AL36" s="15">
        <f t="shared" si="15"/>
        <v>3.3977216086293624E-3</v>
      </c>
      <c r="AM36" s="15">
        <f t="shared" si="16"/>
        <v>3.2428691052497861E-3</v>
      </c>
      <c r="AN36" s="15">
        <f t="shared" si="26"/>
        <v>0.32262258768691593</v>
      </c>
      <c r="AO36" s="10"/>
      <c r="AP36" s="16">
        <f t="shared" si="18"/>
        <v>1.6047203255609096E-2</v>
      </c>
      <c r="AQ36" s="17">
        <f t="shared" si="19"/>
        <v>2.8253284174968485</v>
      </c>
      <c r="AS36" s="17">
        <f t="shared" si="9"/>
        <v>2.8253284174968485E-3</v>
      </c>
      <c r="AU36" s="18">
        <f t="shared" si="20"/>
        <v>0.33237143220007648</v>
      </c>
      <c r="AW36" s="18">
        <f t="shared" si="21"/>
        <v>0.11897821450818154</v>
      </c>
    </row>
    <row r="37" spans="1:51" x14ac:dyDescent="0.25">
      <c r="A37" s="20" t="s">
        <v>44</v>
      </c>
      <c r="B37" s="8">
        <f>SUM(B38:B45)</f>
        <v>6320.8316182726776</v>
      </c>
      <c r="C37" s="8">
        <f t="shared" ref="C37:AK37" si="27">SUM(C38:C45)</f>
        <v>6028.421930748058</v>
      </c>
      <c r="D37" s="8">
        <f t="shared" si="27"/>
        <v>5947.1612349745255</v>
      </c>
      <c r="E37" s="8">
        <f t="shared" si="27"/>
        <v>6125.1984218736761</v>
      </c>
      <c r="F37" s="8">
        <f t="shared" si="27"/>
        <v>5949.7044813384027</v>
      </c>
      <c r="G37" s="8">
        <f t="shared" si="27"/>
        <v>6764.2747678662854</v>
      </c>
      <c r="H37" s="8">
        <f t="shared" si="27"/>
        <v>6790.2579871451571</v>
      </c>
      <c r="I37" s="8">
        <f t="shared" si="27"/>
        <v>6224.0865785843962</v>
      </c>
      <c r="J37" s="8">
        <f t="shared" si="27"/>
        <v>6084.2173154737729</v>
      </c>
      <c r="K37" s="8">
        <f t="shared" si="27"/>
        <v>5614.7695044661432</v>
      </c>
      <c r="L37" s="8">
        <f t="shared" si="27"/>
        <v>6245.7419885288846</v>
      </c>
      <c r="M37" s="8">
        <f t="shared" si="27"/>
        <v>8204.3041757843566</v>
      </c>
      <c r="N37" s="8">
        <f t="shared" si="27"/>
        <v>7554.1541209866045</v>
      </c>
      <c r="O37" s="8">
        <f t="shared" si="27"/>
        <v>7575.2507147443775</v>
      </c>
      <c r="P37" s="8">
        <f t="shared" si="27"/>
        <v>6474.5921610659861</v>
      </c>
      <c r="Q37" s="8">
        <f t="shared" si="27"/>
        <v>6207.5285603227949</v>
      </c>
      <c r="R37" s="8">
        <f t="shared" si="27"/>
        <v>4445.4243029156114</v>
      </c>
      <c r="S37" s="8">
        <f t="shared" si="27"/>
        <v>4039.9792552595768</v>
      </c>
      <c r="T37" s="8">
        <f t="shared" si="27"/>
        <v>3163.8690612711189</v>
      </c>
      <c r="U37" s="8">
        <f t="shared" si="27"/>
        <v>3069.4506269744888</v>
      </c>
      <c r="V37" s="8">
        <f t="shared" si="27"/>
        <v>4192.2253526605109</v>
      </c>
      <c r="W37" s="8">
        <f t="shared" si="27"/>
        <v>3465.2226245626648</v>
      </c>
      <c r="X37" s="8">
        <f t="shared" si="27"/>
        <v>2891.6190110079369</v>
      </c>
      <c r="Y37" s="8">
        <f t="shared" si="27"/>
        <v>3137.1239178490096</v>
      </c>
      <c r="Z37" s="8">
        <f t="shared" si="27"/>
        <v>2954.2631590614201</v>
      </c>
      <c r="AA37" s="8">
        <f t="shared" si="27"/>
        <v>3009.0770354183182</v>
      </c>
      <c r="AB37" s="8">
        <f t="shared" si="27"/>
        <v>2703.1295323831355</v>
      </c>
      <c r="AC37" s="8">
        <f t="shared" si="27"/>
        <v>4004.6936496856097</v>
      </c>
      <c r="AD37" s="8">
        <f t="shared" si="27"/>
        <v>2998.4546591145845</v>
      </c>
      <c r="AE37" s="8">
        <f t="shared" si="27"/>
        <v>2904.7835162397682</v>
      </c>
      <c r="AF37" s="8">
        <f t="shared" si="27"/>
        <v>3218.406846600913</v>
      </c>
      <c r="AG37" s="8">
        <f t="shared" si="27"/>
        <v>2871.937247671563</v>
      </c>
      <c r="AH37" s="8">
        <f t="shared" si="27"/>
        <v>2468.9714694209038</v>
      </c>
      <c r="AI37" s="8">
        <f t="shared" si="27"/>
        <v>2964.9625408213451</v>
      </c>
      <c r="AJ37" s="8">
        <f t="shared" si="27"/>
        <v>2514.111231470763</v>
      </c>
      <c r="AK37" s="24">
        <f t="shared" si="27"/>
        <v>2514.111231470763</v>
      </c>
      <c r="AL37" s="9"/>
      <c r="AM37" s="9">
        <f t="shared" si="16"/>
        <v>4.5575394695754216E-2</v>
      </c>
      <c r="AN37" s="9">
        <f t="shared" si="26"/>
        <v>-0.60224992796789523</v>
      </c>
      <c r="AO37" s="10"/>
      <c r="AP37" s="11">
        <f t="shared" si="18"/>
        <v>0</v>
      </c>
      <c r="AQ37" s="12">
        <f t="shared" si="19"/>
        <v>0</v>
      </c>
      <c r="AS37" s="12">
        <f t="shared" si="9"/>
        <v>0</v>
      </c>
      <c r="AU37" s="9">
        <f t="shared" si="20"/>
        <v>-0.59498998562158401</v>
      </c>
      <c r="AW37" s="9">
        <f t="shared" si="21"/>
        <v>-0.16153101604239151</v>
      </c>
    </row>
    <row r="38" spans="1:51" outlineLevel="1" x14ac:dyDescent="0.25">
      <c r="A38" s="13" t="s">
        <v>45</v>
      </c>
      <c r="B38" s="14">
        <f>SUM('NEW Summary 1990-2025 CO2'!B38,('NEW Summary 1990-2025 CH4'!B38),'NEW Summary 1990-2025 N2O'!B38)</f>
        <v>-1449.6948334556041</v>
      </c>
      <c r="C38" s="14">
        <f>SUM('NEW Summary 1990-2025 CO2'!C38,('NEW Summary 1990-2025 CH4'!C38),'NEW Summary 1990-2025 N2O'!C38)</f>
        <v>-1776.3842043272975</v>
      </c>
      <c r="D38" s="14">
        <f>SUM('NEW Summary 1990-2025 CO2'!D38,('NEW Summary 1990-2025 CH4'!D38),'NEW Summary 1990-2025 N2O'!D38)</f>
        <v>-1074.8106740210576</v>
      </c>
      <c r="E38" s="14">
        <f>SUM('NEW Summary 1990-2025 CO2'!E38,('NEW Summary 1990-2025 CH4'!E38),'NEW Summary 1990-2025 N2O'!E38)</f>
        <v>-1228.00838629188</v>
      </c>
      <c r="F38" s="14">
        <f>SUM('NEW Summary 1990-2025 CO2'!F38,('NEW Summary 1990-2025 CH4'!F38),'NEW Summary 1990-2025 N2O'!F38)</f>
        <v>-1142.6188418804179</v>
      </c>
      <c r="G38" s="14">
        <f>SUM('NEW Summary 1990-2025 CO2'!G38,('NEW Summary 1990-2025 CH4'!G38),'NEW Summary 1990-2025 N2O'!G38)</f>
        <v>-918.20071523512752</v>
      </c>
      <c r="H38" s="14">
        <f>SUM('NEW Summary 1990-2025 CO2'!H38,('NEW Summary 1990-2025 CH4'!H38),'NEW Summary 1990-2025 N2O'!H38)</f>
        <v>-452.97516783831099</v>
      </c>
      <c r="I38" s="14">
        <f>SUM('NEW Summary 1990-2025 CO2'!I38,('NEW Summary 1990-2025 CH4'!I38),'NEW Summary 1990-2025 N2O'!I38)</f>
        <v>-1000.2348831593708</v>
      </c>
      <c r="J38" s="14">
        <f>SUM('NEW Summary 1990-2025 CO2'!J38,('NEW Summary 1990-2025 CH4'!J38),'NEW Summary 1990-2025 N2O'!J38)</f>
        <v>-714.95488653333382</v>
      </c>
      <c r="K38" s="14">
        <f>SUM('NEW Summary 1990-2025 CO2'!K38,('NEW Summary 1990-2025 CH4'!K38),'NEW Summary 1990-2025 N2O'!K38)</f>
        <v>-918.40991348297962</v>
      </c>
      <c r="L38" s="14">
        <f>SUM('NEW Summary 1990-2025 CO2'!L38,('NEW Summary 1990-2025 CH4'!L38),'NEW Summary 1990-2025 N2O'!L38)</f>
        <v>28.555729988338811</v>
      </c>
      <c r="M38" s="14">
        <f>SUM('NEW Summary 1990-2025 CO2'!M38,('NEW Summary 1990-2025 CH4'!M38),'NEW Summary 1990-2025 N2O'!M38)</f>
        <v>276.38840191428824</v>
      </c>
      <c r="N38" s="14">
        <f>SUM('NEW Summary 1990-2025 CO2'!N38,('NEW Summary 1990-2025 CH4'!N38),'NEW Summary 1990-2025 N2O'!N38)</f>
        <v>103.20390756320212</v>
      </c>
      <c r="O38" s="14">
        <f>SUM('NEW Summary 1990-2025 CO2'!O38,('NEW Summary 1990-2025 CH4'!O38),'NEW Summary 1990-2025 N2O'!O38)</f>
        <v>-763.82156430183136</v>
      </c>
      <c r="P38" s="14">
        <f>SUM('NEW Summary 1990-2025 CO2'!P38,('NEW Summary 1990-2025 CH4'!P38),'NEW Summary 1990-2025 N2O'!P38)</f>
        <v>-1560.8097301146613</v>
      </c>
      <c r="Q38" s="14">
        <f>SUM('NEW Summary 1990-2025 CO2'!Q38,('NEW Summary 1990-2025 CH4'!Q38),'NEW Summary 1990-2025 N2O'!Q38)</f>
        <v>-1320.152922471907</v>
      </c>
      <c r="R38" s="14">
        <f>SUM('NEW Summary 1990-2025 CO2'!R38,('NEW Summary 1990-2025 CH4'!R38),'NEW Summary 1990-2025 N2O'!R38)</f>
        <v>-2594.3423337430177</v>
      </c>
      <c r="S38" s="14">
        <f>SUM('NEW Summary 1990-2025 CO2'!S38,('NEW Summary 1990-2025 CH4'!S38),'NEW Summary 1990-2025 N2O'!S38)</f>
        <v>-2800.0191703359314</v>
      </c>
      <c r="T38" s="14">
        <f>SUM('NEW Summary 1990-2025 CO2'!T38,('NEW Summary 1990-2025 CH4'!T38),'NEW Summary 1990-2025 N2O'!T38)</f>
        <v>-4480.1846189710777</v>
      </c>
      <c r="U38" s="14">
        <f>SUM('NEW Summary 1990-2025 CO2'!U38,('NEW Summary 1990-2025 CH4'!U38),'NEW Summary 1990-2025 N2O'!U38)</f>
        <v>-3970.9671444816977</v>
      </c>
      <c r="V38" s="14">
        <f>SUM('NEW Summary 1990-2025 CO2'!V38,('NEW Summary 1990-2025 CH4'!V38),'NEW Summary 1990-2025 N2O'!V38)</f>
        <v>-3670.3736860171384</v>
      </c>
      <c r="W38" s="14">
        <f>SUM('NEW Summary 1990-2025 CO2'!W38,('NEW Summary 1990-2025 CH4'!W38),'NEW Summary 1990-2025 N2O'!W38)</f>
        <v>-4280.9679523756477</v>
      </c>
      <c r="X38" s="14">
        <f>SUM('NEW Summary 1990-2025 CO2'!X38,('NEW Summary 1990-2025 CH4'!X38),'NEW Summary 1990-2025 N2O'!X38)</f>
        <v>-3921.2115816865712</v>
      </c>
      <c r="Y38" s="14">
        <f>SUM('NEW Summary 1990-2025 CO2'!Y38,('NEW Summary 1990-2025 CH4'!Y38),'NEW Summary 1990-2025 N2O'!Y38)</f>
        <v>-3988.7602492507244</v>
      </c>
      <c r="Z38" s="14">
        <f>SUM('NEW Summary 1990-2025 CO2'!Z38,('NEW Summary 1990-2025 CH4'!Z38),'NEW Summary 1990-2025 N2O'!Z38)</f>
        <v>-3905.2609536859868</v>
      </c>
      <c r="AA38" s="14">
        <f>SUM('NEW Summary 1990-2025 CO2'!AA38,('NEW Summary 1990-2025 CH4'!AA38),'NEW Summary 1990-2025 N2O'!AA38)</f>
        <v>-4123.2385891572703</v>
      </c>
      <c r="AB38" s="14">
        <f>SUM('NEW Summary 1990-2025 CO2'!AB38,('NEW Summary 1990-2025 CH4'!AB38),'NEW Summary 1990-2025 N2O'!AB38)</f>
        <v>-3842.7514110893385</v>
      </c>
      <c r="AC38" s="14">
        <f>SUM('NEW Summary 1990-2025 CO2'!AC38,('NEW Summary 1990-2025 CH4'!AC38),'NEW Summary 1990-2025 N2O'!AC38)</f>
        <v>-3475.7971977021957</v>
      </c>
      <c r="AD38" s="14">
        <f>SUM('NEW Summary 1990-2025 CO2'!AD38,('NEW Summary 1990-2025 CH4'!AD38),'NEW Summary 1990-2025 N2O'!AD38)</f>
        <v>-3478.8929613057335</v>
      </c>
      <c r="AE38" s="14">
        <f>SUM('NEW Summary 1990-2025 CO2'!AE38,('NEW Summary 1990-2025 CH4'!AE38),'NEW Summary 1990-2025 N2O'!AE38)</f>
        <v>-3324.854790299878</v>
      </c>
      <c r="AF38" s="14">
        <f>SUM('NEW Summary 1990-2025 CO2'!AF38,('NEW Summary 1990-2025 CH4'!AF38),'NEW Summary 1990-2025 N2O'!AF38)</f>
        <v>-3195.4406086243653</v>
      </c>
      <c r="AG38" s="14">
        <f>SUM('NEW Summary 1990-2025 CO2'!AG38,('NEW Summary 1990-2025 CH4'!AG38),'NEW Summary 1990-2025 N2O'!AG38)</f>
        <v>-2507.8337831789549</v>
      </c>
      <c r="AH38" s="14">
        <f>SUM('NEW Summary 1990-2025 CO2'!AH38,('NEW Summary 1990-2025 CH4'!AH38),'NEW Summary 1990-2025 N2O'!AH38)</f>
        <v>-2699.7702230566888</v>
      </c>
      <c r="AI38" s="14">
        <f>SUM('NEW Summary 1990-2025 CO2'!AI38,('NEW Summary 1990-2025 CH4'!AI38),'NEW Summary 1990-2025 N2O'!AI38)</f>
        <v>-2549.5504817211208</v>
      </c>
      <c r="AJ38" s="14">
        <f>SUM('NEW Summary 1990-2025 CO2'!AJ38,('NEW Summary 1990-2025 CH4'!AJ38),'NEW Summary 1990-2025 N2O'!AJ38)</f>
        <v>-2572.3151657100407</v>
      </c>
      <c r="AK38" s="25">
        <v>-2572.3151657100407</v>
      </c>
      <c r="AL38" s="15"/>
      <c r="AM38" s="15">
        <f t="shared" si="16"/>
        <v>-4.6630506037923826E-2</v>
      </c>
      <c r="AN38" s="15">
        <f t="shared" si="26"/>
        <v>0.77438389538746744</v>
      </c>
      <c r="AO38" s="10"/>
      <c r="AP38" s="16">
        <f t="shared" si="18"/>
        <v>0</v>
      </c>
      <c r="AQ38" s="17">
        <f t="shared" si="19"/>
        <v>0</v>
      </c>
      <c r="AS38" s="17">
        <f t="shared" si="9"/>
        <v>0</v>
      </c>
      <c r="AU38" s="18">
        <f t="shared" si="20"/>
        <v>0.94849787621083714</v>
      </c>
      <c r="AW38" s="18">
        <f t="shared" si="21"/>
        <v>-0.26059375947440094</v>
      </c>
    </row>
    <row r="39" spans="1:51" outlineLevel="1" x14ac:dyDescent="0.25">
      <c r="A39" s="13" t="s">
        <v>46</v>
      </c>
      <c r="B39" s="14">
        <f>SUM('NEW Summary 1990-2025 CO2'!B39,('NEW Summary 1990-2025 CH4'!B39),'NEW Summary 1990-2025 N2O'!B39)</f>
        <v>-48.090150572063884</v>
      </c>
      <c r="C39" s="14">
        <f>SUM('NEW Summary 1990-2025 CO2'!C39,('NEW Summary 1990-2025 CH4'!C39),'NEW Summary 1990-2025 N2O'!C39)</f>
        <v>-48.628918197394036</v>
      </c>
      <c r="D39" s="14">
        <f>SUM('NEW Summary 1990-2025 CO2'!D39,('NEW Summary 1990-2025 CH4'!D39),'NEW Summary 1990-2025 N2O'!D39)</f>
        <v>-49.524035098034595</v>
      </c>
      <c r="E39" s="14">
        <f>SUM('NEW Summary 1990-2025 CO2'!E39,('NEW Summary 1990-2025 CH4'!E39),'NEW Summary 1990-2025 N2O'!E39)</f>
        <v>-45.845894968759225</v>
      </c>
      <c r="F39" s="14">
        <f>SUM('NEW Summary 1990-2025 CO2'!F39,('NEW Summary 1990-2025 CH4'!F39),'NEW Summary 1990-2025 N2O'!F39)</f>
        <v>-48.735702345577451</v>
      </c>
      <c r="G39" s="14">
        <f>SUM('NEW Summary 1990-2025 CO2'!G39,('NEW Summary 1990-2025 CH4'!G39),'NEW Summary 1990-2025 N2O'!G39)</f>
        <v>-44.663368548098468</v>
      </c>
      <c r="H39" s="14">
        <f>SUM('NEW Summary 1990-2025 CO2'!H39,('NEW Summary 1990-2025 CH4'!H39),'NEW Summary 1990-2025 N2O'!H39)</f>
        <v>-48.943141143587511</v>
      </c>
      <c r="I39" s="14">
        <f>SUM('NEW Summary 1990-2025 CO2'!I39,('NEW Summary 1990-2025 CH4'!I39),'NEW Summary 1990-2025 N2O'!I39)</f>
        <v>-46.039462523479244</v>
      </c>
      <c r="J39" s="14">
        <f>SUM('NEW Summary 1990-2025 CO2'!J39,('NEW Summary 1990-2025 CH4'!J39),'NEW Summary 1990-2025 N2O'!J39)</f>
        <v>-44.187692093654015</v>
      </c>
      <c r="K39" s="14">
        <f>SUM('NEW Summary 1990-2025 CO2'!K39,('NEW Summary 1990-2025 CH4'!K39),'NEW Summary 1990-2025 N2O'!K39)</f>
        <v>-39.205437449823805</v>
      </c>
      <c r="L39" s="14">
        <f>SUM('NEW Summary 1990-2025 CO2'!L39,('NEW Summary 1990-2025 CH4'!L39),'NEW Summary 1990-2025 N2O'!L39)</f>
        <v>1.3482250424429689</v>
      </c>
      <c r="M39" s="14">
        <f>SUM('NEW Summary 1990-2025 CO2'!M39,('NEW Summary 1990-2025 CH4'!M39),'NEW Summary 1990-2025 N2O'!M39)</f>
        <v>166.74215701719569</v>
      </c>
      <c r="N39" s="14">
        <f>SUM('NEW Summary 1990-2025 CO2'!N39,('NEW Summary 1990-2025 CH4'!N39),'NEW Summary 1990-2025 N2O'!N39)</f>
        <v>186.07306567176269</v>
      </c>
      <c r="O39" s="14">
        <f>SUM('NEW Summary 1990-2025 CO2'!O39,('NEW Summary 1990-2025 CH4'!O39),'NEW Summary 1990-2025 N2O'!O39)</f>
        <v>107.12687389324371</v>
      </c>
      <c r="P39" s="14">
        <f>SUM('NEW Summary 1990-2025 CO2'!P39,('NEW Summary 1990-2025 CH4'!P39),'NEW Summary 1990-2025 N2O'!P39)</f>
        <v>100.55710825155367</v>
      </c>
      <c r="Q39" s="14">
        <f>SUM('NEW Summary 1990-2025 CO2'!Q39,('NEW Summary 1990-2025 CH4'!Q39),'NEW Summary 1990-2025 N2O'!Q39)</f>
        <v>42.76811104119345</v>
      </c>
      <c r="R39" s="14">
        <f>SUM('NEW Summary 1990-2025 CO2'!R39,('NEW Summary 1990-2025 CH4'!R39),'NEW Summary 1990-2025 N2O'!R39)</f>
        <v>-27.4014809976054</v>
      </c>
      <c r="S39" s="14">
        <f>SUM('NEW Summary 1990-2025 CO2'!S39,('NEW Summary 1990-2025 CH4'!S39),'NEW Summary 1990-2025 N2O'!S39)</f>
        <v>-9.6074119159693439</v>
      </c>
      <c r="T39" s="14">
        <f>SUM('NEW Summary 1990-2025 CO2'!T39,('NEW Summary 1990-2025 CH4'!T39),'NEW Summary 1990-2025 N2O'!T39)</f>
        <v>82.523191558275897</v>
      </c>
      <c r="U39" s="14">
        <f>SUM('NEW Summary 1990-2025 CO2'!U39,('NEW Summary 1990-2025 CH4'!U39),'NEW Summary 1990-2025 N2O'!U39)</f>
        <v>-13.066598551446393</v>
      </c>
      <c r="V39" s="14">
        <f>SUM('NEW Summary 1990-2025 CO2'!V39,('NEW Summary 1990-2025 CH4'!V39),'NEW Summary 1990-2025 N2O'!V39)</f>
        <v>-113.16116223624016</v>
      </c>
      <c r="W39" s="14">
        <f>SUM('NEW Summary 1990-2025 CO2'!W39,('NEW Summary 1990-2025 CH4'!W39),'NEW Summary 1990-2025 N2O'!W39)</f>
        <v>-69.106184759355429</v>
      </c>
      <c r="X39" s="14">
        <f>SUM('NEW Summary 1990-2025 CO2'!X39,('NEW Summary 1990-2025 CH4'!X39),'NEW Summary 1990-2025 N2O'!X39)</f>
        <v>13.317095836073294</v>
      </c>
      <c r="Y39" s="14">
        <f>SUM('NEW Summary 1990-2025 CO2'!Y39,('NEW Summary 1990-2025 CH4'!Y39),'NEW Summary 1990-2025 N2O'!Y39)</f>
        <v>-4.8490471485403148</v>
      </c>
      <c r="Z39" s="14">
        <f>SUM('NEW Summary 1990-2025 CO2'!Z39,('NEW Summary 1990-2025 CH4'!Z39),'NEW Summary 1990-2025 N2O'!Z39)</f>
        <v>-51.20448324374712</v>
      </c>
      <c r="AA39" s="14">
        <f>SUM('NEW Summary 1990-2025 CO2'!AA39,('NEW Summary 1990-2025 CH4'!AA39),'NEW Summary 1990-2025 N2O'!AA39)</f>
        <v>-71.340204264218912</v>
      </c>
      <c r="AB39" s="14">
        <f>SUM('NEW Summary 1990-2025 CO2'!AB39,('NEW Summary 1990-2025 CH4'!AB39),'NEW Summary 1990-2025 N2O'!AB39)</f>
        <v>-92.590080754382328</v>
      </c>
      <c r="AC39" s="14">
        <f>SUM('NEW Summary 1990-2025 CO2'!AC39,('NEW Summary 1990-2025 CH4'!AC39),'NEW Summary 1990-2025 N2O'!AC39)</f>
        <v>-92.018764597696517</v>
      </c>
      <c r="AD39" s="14">
        <f>SUM('NEW Summary 1990-2025 CO2'!AD39,('NEW Summary 1990-2025 CH4'!AD39),'NEW Summary 1990-2025 N2O'!AD39)</f>
        <v>-154.80272279818155</v>
      </c>
      <c r="AE39" s="14">
        <f>SUM('NEW Summary 1990-2025 CO2'!AE39,('NEW Summary 1990-2025 CH4'!AE39),'NEW Summary 1990-2025 N2O'!AE39)</f>
        <v>-142.37256623955349</v>
      </c>
      <c r="AF39" s="14">
        <f>SUM('NEW Summary 1990-2025 CO2'!AF39,('NEW Summary 1990-2025 CH4'!AF39),'NEW Summary 1990-2025 N2O'!AF39)</f>
        <v>-125.2122639319619</v>
      </c>
      <c r="AG39" s="14">
        <f>SUM('NEW Summary 1990-2025 CO2'!AG39,('NEW Summary 1990-2025 CH4'!AG39),'NEW Summary 1990-2025 N2O'!AG39)</f>
        <v>-101.28707364813468</v>
      </c>
      <c r="AH39" s="14">
        <f>SUM('NEW Summary 1990-2025 CO2'!AH39,('NEW Summary 1990-2025 CH4'!AH39),'NEW Summary 1990-2025 N2O'!AH39)</f>
        <v>-83.396529128579516</v>
      </c>
      <c r="AI39" s="14">
        <f>SUM('NEW Summary 1990-2025 CO2'!AI39,('NEW Summary 1990-2025 CH4'!AI39),'NEW Summary 1990-2025 N2O'!AI39)</f>
        <v>81.783952463675618</v>
      </c>
      <c r="AJ39" s="14">
        <f>SUM('NEW Summary 1990-2025 CO2'!AJ39,('NEW Summary 1990-2025 CH4'!AJ39),'NEW Summary 1990-2025 N2O'!AJ39)</f>
        <v>10.585224325985052</v>
      </c>
      <c r="AK39" s="25">
        <v>10.585224325985052</v>
      </c>
      <c r="AL39" s="15"/>
      <c r="AM39" s="15">
        <f t="shared" si="16"/>
        <v>1.9188720473502959E-4</v>
      </c>
      <c r="AN39" s="15">
        <f t="shared" si="26"/>
        <v>-1.2201121061187554</v>
      </c>
      <c r="AO39" s="10"/>
      <c r="AP39" s="16">
        <f t="shared" si="18"/>
        <v>0</v>
      </c>
      <c r="AQ39" s="17">
        <f t="shared" si="19"/>
        <v>0</v>
      </c>
      <c r="AS39" s="17">
        <f t="shared" si="9"/>
        <v>0</v>
      </c>
      <c r="AU39" s="18">
        <f t="shared" si="20"/>
        <v>-0.75249726798105343</v>
      </c>
      <c r="AW39" s="18">
        <f t="shared" si="21"/>
        <v>-1.0683787993818763</v>
      </c>
    </row>
    <row r="40" spans="1:51" outlineLevel="1" x14ac:dyDescent="0.25">
      <c r="A40" s="13" t="s">
        <v>47</v>
      </c>
      <c r="B40" s="14">
        <f>SUM('NEW Summary 1990-2025 CO2'!B40,('NEW Summary 1990-2025 CH4'!B40),'NEW Summary 1990-2025 N2O'!B40)</f>
        <v>3924.8021472180026</v>
      </c>
      <c r="C40" s="14">
        <f>SUM('NEW Summary 1990-2025 CO2'!C40,('NEW Summary 1990-2025 CH4'!C40),'NEW Summary 1990-2025 N2O'!C40)</f>
        <v>4144.0524288218794</v>
      </c>
      <c r="D40" s="14">
        <f>SUM('NEW Summary 1990-2025 CO2'!D40,('NEW Summary 1990-2025 CH4'!D40),'NEW Summary 1990-2025 N2O'!D40)</f>
        <v>3624.0368519131248</v>
      </c>
      <c r="E40" s="14">
        <f>SUM('NEW Summary 1990-2025 CO2'!E40,('NEW Summary 1990-2025 CH4'!E40),'NEW Summary 1990-2025 N2O'!E40)</f>
        <v>3454.1307836122237</v>
      </c>
      <c r="F40" s="14">
        <f>SUM('NEW Summary 1990-2025 CO2'!F40,('NEW Summary 1990-2025 CH4'!F40),'NEW Summary 1990-2025 N2O'!F40)</f>
        <v>3398.6678389764229</v>
      </c>
      <c r="G40" s="14">
        <f>SUM('NEW Summary 1990-2025 CO2'!G40,('NEW Summary 1990-2025 CH4'!G40),'NEW Summary 1990-2025 N2O'!G40)</f>
        <v>3648.2589542689711</v>
      </c>
      <c r="H40" s="14">
        <f>SUM('NEW Summary 1990-2025 CO2'!H40,('NEW Summary 1990-2025 CH4'!H40),'NEW Summary 1990-2025 N2O'!H40)</f>
        <v>3424.6019730117168</v>
      </c>
      <c r="I40" s="14">
        <f>SUM('NEW Summary 1990-2025 CO2'!I40,('NEW Summary 1990-2025 CH4'!I40),'NEW Summary 1990-2025 N2O'!I40)</f>
        <v>3675.3375729177919</v>
      </c>
      <c r="J40" s="14">
        <f>SUM('NEW Summary 1990-2025 CO2'!J40,('NEW Summary 1990-2025 CH4'!J40),'NEW Summary 1990-2025 N2O'!J40)</f>
        <v>3597.0588983217181</v>
      </c>
      <c r="K40" s="14">
        <f>SUM('NEW Summary 1990-2025 CO2'!K40,('NEW Summary 1990-2025 CH4'!K40),'NEW Summary 1990-2025 N2O'!K40)</f>
        <v>3478.1354371348048</v>
      </c>
      <c r="L40" s="14">
        <f>SUM('NEW Summary 1990-2025 CO2'!L40,('NEW Summary 1990-2025 CH4'!L40),'NEW Summary 1990-2025 N2O'!L40)</f>
        <v>3176.2674585077152</v>
      </c>
      <c r="M40" s="14">
        <f>SUM('NEW Summary 1990-2025 CO2'!M40,('NEW Summary 1990-2025 CH4'!M40),'NEW Summary 1990-2025 N2O'!M40)</f>
        <v>3163.0617049842335</v>
      </c>
      <c r="N40" s="14">
        <f>SUM('NEW Summary 1990-2025 CO2'!N40,('NEW Summary 1990-2025 CH4'!N40),'NEW Summary 1990-2025 N2O'!N40)</f>
        <v>3534.1534312870303</v>
      </c>
      <c r="O40" s="14">
        <f>SUM('NEW Summary 1990-2025 CO2'!O40,('NEW Summary 1990-2025 CH4'!O40),'NEW Summary 1990-2025 N2O'!O40)</f>
        <v>3483.8512914254802</v>
      </c>
      <c r="P40" s="14">
        <f>SUM('NEW Summary 1990-2025 CO2'!P40,('NEW Summary 1990-2025 CH4'!P40),'NEW Summary 1990-2025 N2O'!P40)</f>
        <v>3380.1675021651827</v>
      </c>
      <c r="Q40" s="14">
        <f>SUM('NEW Summary 1990-2025 CO2'!Q40,('NEW Summary 1990-2025 CH4'!Q40),'NEW Summary 1990-2025 N2O'!Q40)</f>
        <v>3167.2340669412742</v>
      </c>
      <c r="R40" s="14">
        <f>SUM('NEW Summary 1990-2025 CO2'!R40,('NEW Summary 1990-2025 CH4'!R40),'NEW Summary 1990-2025 N2O'!R40)</f>
        <v>2990.7266966382663</v>
      </c>
      <c r="S40" s="14">
        <f>SUM('NEW Summary 1990-2025 CO2'!S40,('NEW Summary 1990-2025 CH4'!S40),'NEW Summary 1990-2025 N2O'!S40)</f>
        <v>3056.2354931717368</v>
      </c>
      <c r="T40" s="14">
        <f>SUM('NEW Summary 1990-2025 CO2'!T40,('NEW Summary 1990-2025 CH4'!T40),'NEW Summary 1990-2025 N2O'!T40)</f>
        <v>3246.9852591197991</v>
      </c>
      <c r="U40" s="14">
        <f>SUM('NEW Summary 1990-2025 CO2'!U40,('NEW Summary 1990-2025 CH4'!U40),'NEW Summary 1990-2025 N2O'!U40)</f>
        <v>3060.4752573819414</v>
      </c>
      <c r="V40" s="14">
        <f>SUM('NEW Summary 1990-2025 CO2'!V40,('NEW Summary 1990-2025 CH4'!V40),'NEW Summary 1990-2025 N2O'!V40)</f>
        <v>2728.4153188733239</v>
      </c>
      <c r="W40" s="14">
        <f>SUM('NEW Summary 1990-2025 CO2'!W40,('NEW Summary 1990-2025 CH4'!W40),'NEW Summary 1990-2025 N2O'!W40)</f>
        <v>2848.110817460763</v>
      </c>
      <c r="X40" s="14">
        <f>SUM('NEW Summary 1990-2025 CO2'!X40,('NEW Summary 1990-2025 CH4'!X40),'NEW Summary 1990-2025 N2O'!X40)</f>
        <v>2844.5800061178184</v>
      </c>
      <c r="Y40" s="14">
        <f>SUM('NEW Summary 1990-2025 CO2'!Y40,('NEW Summary 1990-2025 CH4'!Y40),'NEW Summary 1990-2025 N2O'!Y40)</f>
        <v>2876.5554024372186</v>
      </c>
      <c r="Z40" s="14">
        <f>SUM('NEW Summary 1990-2025 CO2'!Z40,('NEW Summary 1990-2025 CH4'!Z40),'NEW Summary 1990-2025 N2O'!Z40)</f>
        <v>2676.5539516317949</v>
      </c>
      <c r="AA40" s="14">
        <f>SUM('NEW Summary 1990-2025 CO2'!AA40,('NEW Summary 1990-2025 CH4'!AA40),'NEW Summary 1990-2025 N2O'!AA40)</f>
        <v>2789.6750740366333</v>
      </c>
      <c r="AB40" s="14">
        <f>SUM('NEW Summary 1990-2025 CO2'!AB40,('NEW Summary 1990-2025 CH4'!AB40),'NEW Summary 1990-2025 N2O'!AB40)</f>
        <v>2556.7910229889353</v>
      </c>
      <c r="AC40" s="14">
        <f>SUM('NEW Summary 1990-2025 CO2'!AC40,('NEW Summary 1990-2025 CH4'!AC40),'NEW Summary 1990-2025 N2O'!AC40)</f>
        <v>2419.1787026384254</v>
      </c>
      <c r="AD40" s="14">
        <f>SUM('NEW Summary 1990-2025 CO2'!AD40,('NEW Summary 1990-2025 CH4'!AD40),'NEW Summary 1990-2025 N2O'!AD40)</f>
        <v>2499.0071711105388</v>
      </c>
      <c r="AE40" s="14">
        <f>SUM('NEW Summary 1990-2025 CO2'!AE40,('NEW Summary 1990-2025 CH4'!AE40),'NEW Summary 1990-2025 N2O'!AE40)</f>
        <v>2572.8792077113171</v>
      </c>
      <c r="AF40" s="14">
        <f>SUM('NEW Summary 1990-2025 CO2'!AF40,('NEW Summary 1990-2025 CH4'!AF40),'NEW Summary 1990-2025 N2O'!AF40)</f>
        <v>2576.8332138012724</v>
      </c>
      <c r="AG40" s="14">
        <f>SUM('NEW Summary 1990-2025 CO2'!AG40,('NEW Summary 1990-2025 CH4'!AG40),'NEW Summary 1990-2025 N2O'!AG40)</f>
        <v>2406.8589166718052</v>
      </c>
      <c r="AH40" s="14">
        <f>SUM('NEW Summary 1990-2025 CO2'!AH40,('NEW Summary 1990-2025 CH4'!AH40),'NEW Summary 1990-2025 N2O'!AH40)</f>
        <v>2424.6029993550565</v>
      </c>
      <c r="AI40" s="14">
        <f>SUM('NEW Summary 1990-2025 CO2'!AI40,('NEW Summary 1990-2025 CH4'!AI40),'NEW Summary 1990-2025 N2O'!AI40)</f>
        <v>2432.2693888202416</v>
      </c>
      <c r="AJ40" s="14">
        <f>SUM('NEW Summary 1990-2025 CO2'!AJ40,('NEW Summary 1990-2025 CH4'!AJ40),'NEW Summary 1990-2025 N2O'!AJ40)</f>
        <v>2373.271098558776</v>
      </c>
      <c r="AK40" s="25">
        <v>2373.271098558776</v>
      </c>
      <c r="AL40" s="15"/>
      <c r="AM40" s="15">
        <f t="shared" si="16"/>
        <v>4.3022267942205109E-2</v>
      </c>
      <c r="AN40" s="15">
        <f t="shared" si="26"/>
        <v>-0.39531446184083202</v>
      </c>
      <c r="AO40" s="10"/>
      <c r="AP40" s="16">
        <f t="shared" si="18"/>
        <v>0</v>
      </c>
      <c r="AQ40" s="17">
        <f t="shared" si="19"/>
        <v>0</v>
      </c>
      <c r="AS40" s="17">
        <f t="shared" si="9"/>
        <v>0</v>
      </c>
      <c r="AU40" s="18">
        <f t="shared" si="20"/>
        <v>-0.25068023126855932</v>
      </c>
      <c r="AW40" s="18">
        <f t="shared" si="21"/>
        <v>-5.0314410460809818E-2</v>
      </c>
    </row>
    <row r="41" spans="1:51" outlineLevel="1" x14ac:dyDescent="0.25">
      <c r="A41" s="13" t="s">
        <v>48</v>
      </c>
      <c r="B41" s="14">
        <f>SUM('NEW Summary 1990-2025 CO2'!B41,('NEW Summary 1990-2025 CH4'!B41),'NEW Summary 1990-2025 N2O'!B41)</f>
        <v>4245.3034613385107</v>
      </c>
      <c r="C41" s="14">
        <f>SUM('NEW Summary 1990-2025 CO2'!C41,('NEW Summary 1990-2025 CH4'!C41),'NEW Summary 1990-2025 N2O'!C41)</f>
        <v>4065.1316006092397</v>
      </c>
      <c r="D41" s="14">
        <f>SUM('NEW Summary 1990-2025 CO2'!D41,('NEW Summary 1990-2025 CH4'!D41),'NEW Summary 1990-2025 N2O'!D41)</f>
        <v>3944.0108970609417</v>
      </c>
      <c r="E41" s="14">
        <f>SUM('NEW Summary 1990-2025 CO2'!E41,('NEW Summary 1990-2025 CH4'!E41),'NEW Summary 1990-2025 N2O'!E41)</f>
        <v>4476.6911440583563</v>
      </c>
      <c r="F41" s="14">
        <f>SUM('NEW Summary 1990-2025 CO2'!F41,('NEW Summary 1990-2025 CH4'!F41),'NEW Summary 1990-2025 N2O'!F41)</f>
        <v>4308.6784126296052</v>
      </c>
      <c r="G41" s="14">
        <f>SUM('NEW Summary 1990-2025 CO2'!G41,('NEW Summary 1990-2025 CH4'!G41),'NEW Summary 1990-2025 N2O'!G41)</f>
        <v>4668.6192815622708</v>
      </c>
      <c r="H41" s="14">
        <f>SUM('NEW Summary 1990-2025 CO2'!H41,('NEW Summary 1990-2025 CH4'!H41),'NEW Summary 1990-2025 N2O'!H41)</f>
        <v>4529.6472614162931</v>
      </c>
      <c r="I41" s="14">
        <f>SUM('NEW Summary 1990-2025 CO2'!I41,('NEW Summary 1990-2025 CH4'!I41),'NEW Summary 1990-2025 N2O'!I41)</f>
        <v>4264.9128855547642</v>
      </c>
      <c r="J41" s="14">
        <f>SUM('NEW Summary 1990-2025 CO2'!J41,('NEW Summary 1990-2025 CH4'!J41),'NEW Summary 1990-2025 N2O'!J41)</f>
        <v>4024.3484459216202</v>
      </c>
      <c r="K41" s="14">
        <f>SUM('NEW Summary 1990-2025 CO2'!K41,('NEW Summary 1990-2025 CH4'!K41),'NEW Summary 1990-2025 N2O'!K41)</f>
        <v>4012.8961587419008</v>
      </c>
      <c r="L41" s="14">
        <f>SUM('NEW Summary 1990-2025 CO2'!L41,('NEW Summary 1990-2025 CH4'!L41),'NEW Summary 1990-2025 N2O'!L41)</f>
        <v>3989.0922542651397</v>
      </c>
      <c r="M41" s="14">
        <f>SUM('NEW Summary 1990-2025 CO2'!M41,('NEW Summary 1990-2025 CH4'!M41),'NEW Summary 1990-2025 N2O'!M41)</f>
        <v>5459.4786104465002</v>
      </c>
      <c r="N41" s="14">
        <f>SUM('NEW Summary 1990-2025 CO2'!N41,('NEW Summary 1990-2025 CH4'!N41),'NEW Summary 1990-2025 N2O'!N41)</f>
        <v>4481.3613914517864</v>
      </c>
      <c r="O41" s="14">
        <f>SUM('NEW Summary 1990-2025 CO2'!O41,('NEW Summary 1990-2025 CH4'!O41),'NEW Summary 1990-2025 N2O'!O41)</f>
        <v>5555.7768372056153</v>
      </c>
      <c r="P41" s="14">
        <f>SUM('NEW Summary 1990-2025 CO2'!P41,('NEW Summary 1990-2025 CH4'!P41),'NEW Summary 1990-2025 N2O'!P41)</f>
        <v>5253.2100253734416</v>
      </c>
      <c r="Q41" s="14">
        <f>SUM('NEW Summary 1990-2025 CO2'!Q41,('NEW Summary 1990-2025 CH4'!Q41),'NEW Summary 1990-2025 N2O'!Q41)</f>
        <v>5024.8679156398803</v>
      </c>
      <c r="R41" s="14">
        <f>SUM('NEW Summary 1990-2025 CO2'!R41,('NEW Summary 1990-2025 CH4'!R41),'NEW Summary 1990-2025 N2O'!R41)</f>
        <v>4903.3013822593848</v>
      </c>
      <c r="S41" s="14">
        <f>SUM('NEW Summary 1990-2025 CO2'!S41,('NEW Summary 1990-2025 CH4'!S41),'NEW Summary 1990-2025 N2O'!S41)</f>
        <v>4621.63048126791</v>
      </c>
      <c r="T41" s="14">
        <f>SUM('NEW Summary 1990-2025 CO2'!T41,('NEW Summary 1990-2025 CH4'!T41),'NEW Summary 1990-2025 N2O'!T41)</f>
        <v>4626.8807806301938</v>
      </c>
      <c r="U41" s="14">
        <f>SUM('NEW Summary 1990-2025 CO2'!U41,('NEW Summary 1990-2025 CH4'!U41),'NEW Summary 1990-2025 N2O'!U41)</f>
        <v>4498.0608046737043</v>
      </c>
      <c r="V41" s="14">
        <f>SUM('NEW Summary 1990-2025 CO2'!V41,('NEW Summary 1990-2025 CH4'!V41),'NEW Summary 1990-2025 N2O'!V41)</f>
        <v>5841.9598966814892</v>
      </c>
      <c r="W41" s="14">
        <f>SUM('NEW Summary 1990-2025 CO2'!W41,('NEW Summary 1990-2025 CH4'!W41),'NEW Summary 1990-2025 N2O'!W41)</f>
        <v>5639.1037713231644</v>
      </c>
      <c r="X41" s="14">
        <f>SUM('NEW Summary 1990-2025 CO2'!X41,('NEW Summary 1990-2025 CH4'!X41),'NEW Summary 1990-2025 N2O'!X41)</f>
        <v>4558.1137418882745</v>
      </c>
      <c r="Y41" s="14">
        <f>SUM('NEW Summary 1990-2025 CO2'!Y41,('NEW Summary 1990-2025 CH4'!Y41),'NEW Summary 1990-2025 N2O'!Y41)</f>
        <v>4845.6346556281214</v>
      </c>
      <c r="Z41" s="14">
        <f>SUM('NEW Summary 1990-2025 CO2'!Z41,('NEW Summary 1990-2025 CH4'!Z41),'NEW Summary 1990-2025 N2O'!Z41)</f>
        <v>4922.0771255441559</v>
      </c>
      <c r="AA41" s="14">
        <f>SUM('NEW Summary 1990-2025 CO2'!AA41,('NEW Summary 1990-2025 CH4'!AA41),'NEW Summary 1990-2025 N2O'!AA41)</f>
        <v>4990.0690560617104</v>
      </c>
      <c r="AB41" s="14">
        <f>SUM('NEW Summary 1990-2025 CO2'!AB41,('NEW Summary 1990-2025 CH4'!AB41),'NEW Summary 1990-2025 N2O'!AB41)</f>
        <v>4785.5584393162635</v>
      </c>
      <c r="AC41" s="14">
        <f>SUM('NEW Summary 1990-2025 CO2'!AC41,('NEW Summary 1990-2025 CH4'!AC41),'NEW Summary 1990-2025 N2O'!AC41)</f>
        <v>5903.6959800235772</v>
      </c>
      <c r="AD41" s="14">
        <f>SUM('NEW Summary 1990-2025 CO2'!AD41,('NEW Summary 1990-2025 CH4'!AD41),'NEW Summary 1990-2025 N2O'!AD41)</f>
        <v>4581.1549933458218</v>
      </c>
      <c r="AE41" s="14">
        <f>SUM('NEW Summary 1990-2025 CO2'!AE41,('NEW Summary 1990-2025 CH4'!AE41),'NEW Summary 1990-2025 N2O'!AE41)</f>
        <v>4541.4694612884605</v>
      </c>
      <c r="AF41" s="14">
        <f>SUM('NEW Summary 1990-2025 CO2'!AF41,('NEW Summary 1990-2025 CH4'!AF41),'NEW Summary 1990-2025 N2O'!AF41)</f>
        <v>4675.0340026808608</v>
      </c>
      <c r="AG41" s="14">
        <f>SUM('NEW Summary 1990-2025 CO2'!AG41,('NEW Summary 1990-2025 CH4'!AG41),'NEW Summary 1990-2025 N2O'!AG41)</f>
        <v>3936.4353495251717</v>
      </c>
      <c r="AH41" s="14">
        <f>SUM('NEW Summary 1990-2025 CO2'!AH41,('NEW Summary 1990-2025 CH4'!AH41),'NEW Summary 1990-2025 N2O'!AH41)</f>
        <v>3575.9753368555139</v>
      </c>
      <c r="AI41" s="14">
        <f>SUM('NEW Summary 1990-2025 CO2'!AI41,('NEW Summary 1990-2025 CH4'!AI41),'NEW Summary 1990-2025 N2O'!AI41)</f>
        <v>3793.1609122070013</v>
      </c>
      <c r="AJ41" s="14">
        <f>SUM('NEW Summary 1990-2025 CO2'!AJ41,('NEW Summary 1990-2025 CH4'!AJ41),'NEW Summary 1990-2025 N2O'!AJ41)</f>
        <v>3372.9154773079931</v>
      </c>
      <c r="AK41" s="25">
        <v>3372.9154773079931</v>
      </c>
      <c r="AL41" s="15"/>
      <c r="AM41" s="15">
        <f t="shared" si="16"/>
        <v>6.1143656744177613E-2</v>
      </c>
      <c r="AN41" s="15">
        <f t="shared" si="26"/>
        <v>-0.20549484671125501</v>
      </c>
      <c r="AO41" s="10"/>
      <c r="AP41" s="16">
        <f t="shared" si="18"/>
        <v>0</v>
      </c>
      <c r="AQ41" s="17">
        <f t="shared" si="19"/>
        <v>0</v>
      </c>
      <c r="AS41" s="17">
        <f t="shared" si="9"/>
        <v>0</v>
      </c>
      <c r="AU41" s="18">
        <f t="shared" si="20"/>
        <v>-0.32875539537869086</v>
      </c>
      <c r="AW41" s="18">
        <f t="shared" si="21"/>
        <v>-0.26374124381139907</v>
      </c>
    </row>
    <row r="42" spans="1:51" outlineLevel="1" x14ac:dyDescent="0.25">
      <c r="A42" s="13" t="s">
        <v>49</v>
      </c>
      <c r="B42" s="14">
        <f>SUM('NEW Summary 1990-2025 CO2'!B42,('NEW Summary 1990-2025 CH4'!B42),'NEW Summary 1990-2025 N2O'!B42)</f>
        <v>61.252296510937015</v>
      </c>
      <c r="C42" s="14">
        <f>SUM('NEW Summary 1990-2025 CO2'!C42,('NEW Summary 1990-2025 CH4'!C42),'NEW Summary 1990-2025 N2O'!C42)</f>
        <v>53.569196857223865</v>
      </c>
      <c r="D42" s="14">
        <f>SUM('NEW Summary 1990-2025 CO2'!D42,('NEW Summary 1990-2025 CH4'!D42),'NEW Summary 1990-2025 N2O'!D42)</f>
        <v>63.707370752893439</v>
      </c>
      <c r="E42" s="14">
        <f>SUM('NEW Summary 1990-2025 CO2'!E42,('NEW Summary 1990-2025 CH4'!E42),'NEW Summary 1990-2025 N2O'!E42)</f>
        <v>54.291169760331442</v>
      </c>
      <c r="F42" s="14">
        <f>SUM('NEW Summary 1990-2025 CO2'!F42,('NEW Summary 1990-2025 CH4'!F42),'NEW Summary 1990-2025 N2O'!F42)</f>
        <v>79.12263712199649</v>
      </c>
      <c r="G42" s="14">
        <f>SUM('NEW Summary 1990-2025 CO2'!G42,('NEW Summary 1990-2025 CH4'!G42),'NEW Summary 1990-2025 N2O'!G42)</f>
        <v>84.049773678530315</v>
      </c>
      <c r="H42" s="14">
        <f>SUM('NEW Summary 1990-2025 CO2'!H42,('NEW Summary 1990-2025 CH4'!H42),'NEW Summary 1990-2025 N2O'!H42)</f>
        <v>95.955899393805424</v>
      </c>
      <c r="I42" s="14">
        <f>SUM('NEW Summary 1990-2025 CO2'!I42,('NEW Summary 1990-2025 CH4'!I42),'NEW Summary 1990-2025 N2O'!I42)</f>
        <v>106.51123214810379</v>
      </c>
      <c r="J42" s="14">
        <f>SUM('NEW Summary 1990-2025 CO2'!J42,('NEW Summary 1990-2025 CH4'!J42),'NEW Summary 1990-2025 N2O'!J42)</f>
        <v>118.01555479358248</v>
      </c>
      <c r="K42" s="14">
        <f>SUM('NEW Summary 1990-2025 CO2'!K42,('NEW Summary 1990-2025 CH4'!K42),'NEW Summary 1990-2025 N2O'!K42)</f>
        <v>129.51629415246279</v>
      </c>
      <c r="L42" s="14">
        <f>SUM('NEW Summary 1990-2025 CO2'!L42,('NEW Summary 1990-2025 CH4'!L42),'NEW Summary 1990-2025 N2O'!L42)</f>
        <v>147.17625767585687</v>
      </c>
      <c r="M42" s="14">
        <f>SUM('NEW Summary 1990-2025 CO2'!M42,('NEW Summary 1990-2025 CH4'!M42),'NEW Summary 1990-2025 N2O'!M42)</f>
        <v>188.18719580357291</v>
      </c>
      <c r="N42" s="14">
        <f>SUM('NEW Summary 1990-2025 CO2'!N42,('NEW Summary 1990-2025 CH4'!N42),'NEW Summary 1990-2025 N2O'!N42)</f>
        <v>161.38699877079242</v>
      </c>
      <c r="O42" s="14">
        <f>SUM('NEW Summary 1990-2025 CO2'!O42,('NEW Summary 1990-2025 CH4'!O42),'NEW Summary 1990-2025 N2O'!O42)</f>
        <v>202.23574647130678</v>
      </c>
      <c r="P42" s="14">
        <f>SUM('NEW Summary 1990-2025 CO2'!P42,('NEW Summary 1990-2025 CH4'!P42),'NEW Summary 1990-2025 N2O'!P42)</f>
        <v>259.91160968759664</v>
      </c>
      <c r="Q42" s="14">
        <f>SUM('NEW Summary 1990-2025 CO2'!Q42,('NEW Summary 1990-2025 CH4'!Q42),'NEW Summary 1990-2025 N2O'!Q42)</f>
        <v>237.16853277004418</v>
      </c>
      <c r="R42" s="14">
        <f>SUM('NEW Summary 1990-2025 CO2'!R42,('NEW Summary 1990-2025 CH4'!R42),'NEW Summary 1990-2025 N2O'!R42)</f>
        <v>404.41378561675992</v>
      </c>
      <c r="S42" s="14">
        <f>SUM('NEW Summary 1990-2025 CO2'!S42,('NEW Summary 1990-2025 CH4'!S42),'NEW Summary 1990-2025 N2O'!S42)</f>
        <v>365.52465118503892</v>
      </c>
      <c r="T42" s="14">
        <f>SUM('NEW Summary 1990-2025 CO2'!T42,('NEW Summary 1990-2025 CH4'!T42),'NEW Summary 1990-2025 N2O'!T42)</f>
        <v>316.9915100068136</v>
      </c>
      <c r="U42" s="14">
        <f>SUM('NEW Summary 1990-2025 CO2'!U42,('NEW Summary 1990-2025 CH4'!U42),'NEW Summary 1990-2025 N2O'!U42)</f>
        <v>184.3337199501814</v>
      </c>
      <c r="V42" s="14">
        <f>SUM('NEW Summary 1990-2025 CO2'!V42,('NEW Summary 1990-2025 CH4'!V42),'NEW Summary 1990-2025 N2O'!V42)</f>
        <v>228.81752504272188</v>
      </c>
      <c r="W42" s="14">
        <f>SUM('NEW Summary 1990-2025 CO2'!W42,('NEW Summary 1990-2025 CH4'!W42),'NEW Summary 1990-2025 N2O'!W42)</f>
        <v>62.161501526941684</v>
      </c>
      <c r="X42" s="14">
        <f>SUM('NEW Summary 1990-2025 CO2'!X42,('NEW Summary 1990-2025 CH4'!X42),'NEW Summary 1990-2025 N2O'!X42)</f>
        <v>57.427818817819272</v>
      </c>
      <c r="Y42" s="14">
        <f>SUM('NEW Summary 1990-2025 CO2'!Y42,('NEW Summary 1990-2025 CH4'!Y42),'NEW Summary 1990-2025 N2O'!Y42)</f>
        <v>66.474244847247775</v>
      </c>
      <c r="Z42" s="14">
        <f>SUM('NEW Summary 1990-2025 CO2'!Z42,('NEW Summary 1990-2025 CH4'!Z42),'NEW Summary 1990-2025 N2O'!Z42)</f>
        <v>59.124666308299304</v>
      </c>
      <c r="AA42" s="14">
        <f>SUM('NEW Summary 1990-2025 CO2'!AA42,('NEW Summary 1990-2025 CH4'!AA42),'NEW Summary 1990-2025 N2O'!AA42)</f>
        <v>156.22305833020536</v>
      </c>
      <c r="AB42" s="14">
        <f>SUM('NEW Summary 1990-2025 CO2'!AB42,('NEW Summary 1990-2025 CH4'!AB42),'NEW Summary 1990-2025 N2O'!AB42)</f>
        <v>73.483574638123144</v>
      </c>
      <c r="AC42" s="14">
        <f>SUM('NEW Summary 1990-2025 CO2'!AC42,('NEW Summary 1990-2025 CH4'!AC42),'NEW Summary 1990-2025 N2O'!AC42)</f>
        <v>100.56492002138592</v>
      </c>
      <c r="AD42" s="14">
        <f>SUM('NEW Summary 1990-2025 CO2'!AD42,('NEW Summary 1990-2025 CH4'!AD42),'NEW Summary 1990-2025 N2O'!AD42)</f>
        <v>361.51661937328663</v>
      </c>
      <c r="AE42" s="14">
        <f>SUM('NEW Summary 1990-2025 CO2'!AE42,('NEW Summary 1990-2025 CH4'!AE42),'NEW Summary 1990-2025 N2O'!AE42)</f>
        <v>114.5905828970092</v>
      </c>
      <c r="AF42" s="14">
        <f>SUM('NEW Summary 1990-2025 CO2'!AF42,('NEW Summary 1990-2025 CH4'!AF42),'NEW Summary 1990-2025 N2O'!AF42)</f>
        <v>101.60259305097492</v>
      </c>
      <c r="AG42" s="14">
        <f>SUM('NEW Summary 1990-2025 CO2'!AG42,('NEW Summary 1990-2025 CH4'!AG42),'NEW Summary 1990-2025 N2O'!AG42)</f>
        <v>102.45510135569974</v>
      </c>
      <c r="AH42" s="14">
        <f>SUM('NEW Summary 1990-2025 CO2'!AH42,('NEW Summary 1990-2025 CH4'!AH42),'NEW Summary 1990-2025 N2O'!AH42)</f>
        <v>183.02058690938597</v>
      </c>
      <c r="AI42" s="14">
        <f>SUM('NEW Summary 1990-2025 CO2'!AI42,('NEW Summary 1990-2025 CH4'!AI42),'NEW Summary 1990-2025 N2O'!AI42)</f>
        <v>135.68778001168036</v>
      </c>
      <c r="AJ42" s="14">
        <f>SUM('NEW Summary 1990-2025 CO2'!AJ42,('NEW Summary 1990-2025 CH4'!AJ42),'NEW Summary 1990-2025 N2O'!AJ42)</f>
        <v>110.39093602215392</v>
      </c>
      <c r="AK42" s="25">
        <v>110.39093602215392</v>
      </c>
      <c r="AL42" s="15"/>
      <c r="AM42" s="15">
        <f t="shared" si="16"/>
        <v>2.0011487228829574E-3</v>
      </c>
      <c r="AN42" s="15">
        <f t="shared" si="26"/>
        <v>0.80223342323896163</v>
      </c>
      <c r="AO42" s="10"/>
      <c r="AP42" s="16">
        <f t="shared" si="18"/>
        <v>0</v>
      </c>
      <c r="AQ42" s="17">
        <f t="shared" si="19"/>
        <v>0</v>
      </c>
      <c r="AS42" s="17">
        <f t="shared" si="9"/>
        <v>0</v>
      </c>
      <c r="AU42" s="18">
        <f t="shared" si="20"/>
        <v>-0.53454644790846817</v>
      </c>
      <c r="AW42" s="18">
        <f t="shared" si="21"/>
        <v>-0.69464492057509264</v>
      </c>
    </row>
    <row r="43" spans="1:51" outlineLevel="1" x14ac:dyDescent="0.25">
      <c r="A43" s="13" t="s">
        <v>50</v>
      </c>
      <c r="B43" s="14">
        <f>SUM('NEW Summary 1990-2025 CO2'!B43,('NEW Summary 1990-2025 CH4'!B43),'NEW Summary 1990-2025 N2O'!B43)</f>
        <v>0.30216447850769501</v>
      </c>
      <c r="C43" s="14">
        <f>SUM('NEW Summary 1990-2025 CO2'!C43,('NEW Summary 1990-2025 CH4'!C43),'NEW Summary 1990-2025 N2O'!C43)</f>
        <v>0.31439028393626717</v>
      </c>
      <c r="D43" s="14">
        <f>SUM('NEW Summary 1990-2025 CO2'!D43,('NEW Summary 1990-2025 CH4'!D43),'NEW Summary 1990-2025 N2O'!D43)</f>
        <v>0.32517835584102989</v>
      </c>
      <c r="E43" s="14">
        <f>SUM('NEW Summary 1990-2025 CO2'!E43,('NEW Summary 1990-2025 CH4'!E43),'NEW Summary 1990-2025 N2O'!E43)</f>
        <v>0.33596642774579261</v>
      </c>
      <c r="F43" s="14">
        <f>SUM('NEW Summary 1990-2025 CO2'!F43,('NEW Summary 1990-2025 CH4'!F43),'NEW Summary 1990-2025 N2O'!F43)</f>
        <v>0.34675449965055538</v>
      </c>
      <c r="G43" s="14">
        <f>SUM('NEW Summary 1990-2025 CO2'!G43,('NEW Summary 1990-2025 CH4'!G43),'NEW Summary 1990-2025 N2O'!G43)</f>
        <v>9.2448073237502673</v>
      </c>
      <c r="H43" s="14">
        <f>SUM('NEW Summary 1990-2025 CO2'!H43,('NEW Summary 1990-2025 CH4'!H43),'NEW Summary 1990-2025 N2O'!H43)</f>
        <v>9.5713916823217211</v>
      </c>
      <c r="I43" s="14">
        <f>SUM('NEW Summary 1990-2025 CO2'!I43,('NEW Summary 1990-2025 CH4'!I43),'NEW Summary 1990-2025 N2O'!I43)</f>
        <v>9.8979760408931732</v>
      </c>
      <c r="J43" s="14">
        <f>SUM('NEW Summary 1990-2025 CO2'!J43,('NEW Summary 1990-2025 CH4'!J43),'NEW Summary 1990-2025 N2O'!J43)</f>
        <v>10.224560399464627</v>
      </c>
      <c r="K43" s="14">
        <f>SUM('NEW Summary 1990-2025 CO2'!K43,('NEW Summary 1990-2025 CH4'!K43),'NEW Summary 1990-2025 N2O'!K43)</f>
        <v>10.551144758036081</v>
      </c>
      <c r="L43" s="14">
        <f>SUM('NEW Summary 1990-2025 CO2'!L43,('NEW Summary 1990-2025 CH4'!L43),'NEW Summary 1990-2025 N2O'!L43)</f>
        <v>17.738974835040214</v>
      </c>
      <c r="M43" s="14">
        <f>SUM('NEW Summary 1990-2025 CO2'!M43,('NEW Summary 1990-2025 CH4'!M43),'NEW Summary 1990-2025 N2O'!M43)</f>
        <v>18.511513296540269</v>
      </c>
      <c r="N43" s="14">
        <f>SUM('NEW Summary 1990-2025 CO2'!N43,('NEW Summary 1990-2025 CH4'!N43),'NEW Summary 1990-2025 N2O'!N43)</f>
        <v>3.2319390753811978</v>
      </c>
      <c r="O43" s="14">
        <f>SUM('NEW Summary 1990-2025 CO2'!O43,('NEW Summary 1990-2025 CH4'!O43),'NEW Summary 1990-2025 N2O'!O43)</f>
        <v>113.63274345047374</v>
      </c>
      <c r="P43" s="14">
        <f>SUM('NEW Summary 1990-2025 CO2'!P43,('NEW Summary 1990-2025 CH4'!P43),'NEW Summary 1990-2025 N2O'!P43)</f>
        <v>62.355276501023006</v>
      </c>
      <c r="Q43" s="14">
        <f>SUM('NEW Summary 1990-2025 CO2'!Q43,('NEW Summary 1990-2025 CH4'!Q43),'NEW Summary 1990-2025 N2O'!Q43)</f>
        <v>119.51714630761704</v>
      </c>
      <c r="R43" s="14">
        <f>SUM('NEW Summary 1990-2025 CO2'!R43,('NEW Summary 1990-2025 CH4'!R43),'NEW Summary 1990-2025 N2O'!R43)</f>
        <v>13.039277170620025</v>
      </c>
      <c r="S43" s="14">
        <f>SUM('NEW Summary 1990-2025 CO2'!S43,('NEW Summary 1990-2025 CH4'!S43),'NEW Summary 1990-2025 N2O'!S43)</f>
        <v>13.039277170620025</v>
      </c>
      <c r="T43" s="14">
        <f>SUM('NEW Summary 1990-2025 CO2'!T43,('NEW Summary 1990-2025 CH4'!T43),'NEW Summary 1990-2025 N2O'!T43)</f>
        <v>68.239679358166299</v>
      </c>
      <c r="U43" s="14">
        <f>SUM('NEW Summary 1990-2025 CO2'!U43,('NEW Summary 1990-2025 CH4'!U43),'NEW Summary 1990-2025 N2O'!U43)</f>
        <v>15.000744789667792</v>
      </c>
      <c r="V43" s="14">
        <f>SUM('NEW Summary 1990-2025 CO2'!V43,('NEW Summary 1990-2025 CH4'!V43),'NEW Summary 1990-2025 N2O'!V43)</f>
        <v>14.989956717763027</v>
      </c>
      <c r="W43" s="14">
        <f>SUM('NEW Summary 1990-2025 CO2'!W43,('NEW Summary 1990-2025 CH4'!W43),'NEW Summary 1990-2025 N2O'!W43)</f>
        <v>14.979168645858264</v>
      </c>
      <c r="X43" s="14">
        <f>SUM('NEW Summary 1990-2025 CO2'!X43,('NEW Summary 1990-2025 CH4'!X43),'NEW Summary 1990-2025 N2O'!X43)</f>
        <v>14.968380573953501</v>
      </c>
      <c r="Y43" s="14">
        <f>SUM('NEW Summary 1990-2025 CO2'!Y43,('NEW Summary 1990-2025 CH4'!Y43),'NEW Summary 1990-2025 N2O'!Y43)</f>
        <v>14.95759250204874</v>
      </c>
      <c r="Z43" s="14">
        <f>SUM('NEW Summary 1990-2025 CO2'!Z43,('NEW Summary 1990-2025 CH4'!Z43),'NEW Summary 1990-2025 N2O'!Z43)</f>
        <v>14.946804430143978</v>
      </c>
      <c r="AA43" s="14">
        <f>SUM('NEW Summary 1990-2025 CO2'!AA43,('NEW Summary 1990-2025 CH4'!AA43),'NEW Summary 1990-2025 N2O'!AA43)</f>
        <v>14.620220071572525</v>
      </c>
      <c r="AB43" s="14">
        <f>SUM('NEW Summary 1990-2025 CO2'!AB43,('NEW Summary 1990-2025 CH4'!AB43),'NEW Summary 1990-2025 N2O'!AB43)</f>
        <v>14.293635713001073</v>
      </c>
      <c r="AC43" s="14">
        <f>SUM('NEW Summary 1990-2025 CO2'!AC43,('NEW Summary 1990-2025 CH4'!AC43),'NEW Summary 1990-2025 N2O'!AC43)</f>
        <v>13.967051354429618</v>
      </c>
      <c r="AD43" s="14">
        <f>SUM('NEW Summary 1990-2025 CO2'!AD43,('NEW Summary 1990-2025 CH4'!AD43),'NEW Summary 1990-2025 N2O'!AD43)</f>
        <v>13.640466995858166</v>
      </c>
      <c r="AE43" s="14">
        <f>SUM('NEW Summary 1990-2025 CO2'!AE43,('NEW Summary 1990-2025 CH4'!AE43),'NEW Summary 1990-2025 N2O'!AE43)</f>
        <v>13.313882637286712</v>
      </c>
      <c r="AF43" s="14">
        <f>SUM('NEW Summary 1990-2025 CO2'!AF43,('NEW Summary 1990-2025 CH4'!AF43),'NEW Summary 1990-2025 N2O'!AF43)</f>
        <v>12.541344175786652</v>
      </c>
      <c r="AG43" s="14">
        <f>SUM('NEW Summary 1990-2025 CO2'!AG43,('NEW Summary 1990-2025 CH4'!AG43),'NEW Summary 1990-2025 N2O'!AG43)</f>
        <v>11.768805714286593</v>
      </c>
      <c r="AH43" s="14">
        <f>SUM('NEW Summary 1990-2025 CO2'!AH43,('NEW Summary 1990-2025 CH4'!AH43),'NEW Summary 1990-2025 N2O'!AH43)</f>
        <v>11.768805714286593</v>
      </c>
      <c r="AI43" s="14">
        <f>SUM('NEW Summary 1990-2025 CO2'!AI43,('NEW Summary 1990-2025 CH4'!AI43),'NEW Summary 1990-2025 N2O'!AI43)</f>
        <v>7.8458704761910623</v>
      </c>
      <c r="AJ43" s="14">
        <f>SUM('NEW Summary 1990-2025 CO2'!AJ43,('NEW Summary 1990-2025 CH4'!AJ43),'NEW Summary 1990-2025 N2O'!AJ43)</f>
        <v>5.8844028571432974</v>
      </c>
      <c r="AK43" s="25">
        <v>5.8844028571432974</v>
      </c>
      <c r="AL43" s="15"/>
      <c r="AM43" s="15">
        <f t="shared" si="16"/>
        <v>1.0667148668925087E-4</v>
      </c>
      <c r="AN43" s="15">
        <f t="shared" si="26"/>
        <v>18.474171438696899</v>
      </c>
      <c r="AO43" s="10"/>
      <c r="AP43" s="16">
        <f t="shared" si="18"/>
        <v>0</v>
      </c>
      <c r="AQ43" s="17">
        <f t="shared" si="19"/>
        <v>0</v>
      </c>
      <c r="AS43" s="17">
        <f t="shared" si="9"/>
        <v>0</v>
      </c>
      <c r="AU43" s="18">
        <f t="shared" si="20"/>
        <v>-0.95076519948026672</v>
      </c>
      <c r="AW43" s="18">
        <f t="shared" si="21"/>
        <v>-0.56860693560344699</v>
      </c>
    </row>
    <row r="44" spans="1:51" outlineLevel="1" x14ac:dyDescent="0.25">
      <c r="A44" s="13" t="s">
        <v>51</v>
      </c>
      <c r="B44" s="14">
        <f>SUM('NEW Summary 1990-2025 CO2'!B44)</f>
        <v>-413.04346724561293</v>
      </c>
      <c r="C44" s="14">
        <f>SUM('NEW Summary 1990-2025 CO2'!C44)</f>
        <v>-409.63256329952986</v>
      </c>
      <c r="D44" s="14">
        <f>SUM('NEW Summary 1990-2025 CO2'!D44)</f>
        <v>-560.58435398918311</v>
      </c>
      <c r="E44" s="14">
        <f>SUM('NEW Summary 1990-2025 CO2'!E44)</f>
        <v>-586.39636072434257</v>
      </c>
      <c r="F44" s="14">
        <f>SUM('NEW Summary 1990-2025 CO2'!F44)</f>
        <v>-645.75661766327653</v>
      </c>
      <c r="G44" s="14">
        <f>SUM('NEW Summary 1990-2025 CO2'!G44)</f>
        <v>-683.03396518401007</v>
      </c>
      <c r="H44" s="14">
        <f>SUM('NEW Summary 1990-2025 CO2'!H44)</f>
        <v>-767.60022937708061</v>
      </c>
      <c r="I44" s="14">
        <f>SUM('NEW Summary 1990-2025 CO2'!I44)</f>
        <v>-786.29874239430683</v>
      </c>
      <c r="J44" s="14">
        <f>SUM('NEW Summary 1990-2025 CO2'!J44)</f>
        <v>-906.28756533562387</v>
      </c>
      <c r="K44" s="14">
        <f>SUM('NEW Summary 1990-2025 CO2'!K44)</f>
        <v>-1058.7141793882588</v>
      </c>
      <c r="L44" s="14">
        <f>SUM('NEW Summary 1990-2025 CO2'!L44)</f>
        <v>-1114.4369117856486</v>
      </c>
      <c r="M44" s="14">
        <f>SUM('NEW Summary 1990-2025 CO2'!M44)</f>
        <v>-1068.0654076779765</v>
      </c>
      <c r="N44" s="14">
        <f>SUM('NEW Summary 1990-2025 CO2'!N44)</f>
        <v>-915.25661283335285</v>
      </c>
      <c r="O44" s="14">
        <f>SUM('NEW Summary 1990-2025 CO2'!O44)</f>
        <v>-1123.5512133999086</v>
      </c>
      <c r="P44" s="14">
        <f>SUM('NEW Summary 1990-2025 CO2'!P44)</f>
        <v>-1020.79963079815</v>
      </c>
      <c r="Q44" s="14">
        <f>SUM('NEW Summary 1990-2025 CO2'!Q44)</f>
        <v>-1063.8742899053073</v>
      </c>
      <c r="R44" s="14">
        <f>SUM('NEW Summary 1990-2025 CO2'!R44)</f>
        <v>-1244.3130240287962</v>
      </c>
      <c r="S44" s="14">
        <f>SUM('NEW Summary 1990-2025 CO2'!S44)</f>
        <v>-1206.824065283829</v>
      </c>
      <c r="T44" s="14">
        <f>SUM('NEW Summary 1990-2025 CO2'!T44)</f>
        <v>-697.56674043105249</v>
      </c>
      <c r="U44" s="14">
        <f>SUM('NEW Summary 1990-2025 CO2'!U44)</f>
        <v>-704.38615678786232</v>
      </c>
      <c r="V44" s="14">
        <f>SUM('NEW Summary 1990-2025 CO2'!V44)</f>
        <v>-838.42249640140847</v>
      </c>
      <c r="W44" s="14">
        <f>SUM('NEW Summary 1990-2025 CO2'!W44)</f>
        <v>-749.05849725905921</v>
      </c>
      <c r="X44" s="14">
        <f>SUM('NEW Summary 1990-2025 CO2'!X44)</f>
        <v>-675.57645053943099</v>
      </c>
      <c r="Y44" s="14">
        <f>SUM('NEW Summary 1990-2025 CO2'!Y44)</f>
        <v>-672.8886811663624</v>
      </c>
      <c r="Z44" s="14">
        <f>SUM('NEW Summary 1990-2025 CO2'!Z44)</f>
        <v>-761.97395192324007</v>
      </c>
      <c r="AA44" s="14">
        <f>SUM('NEW Summary 1990-2025 CO2'!AA44)</f>
        <v>-746.93157966031367</v>
      </c>
      <c r="AB44" s="14">
        <f>SUM('NEW Summary 1990-2025 CO2'!AB44)</f>
        <v>-791.65564842946696</v>
      </c>
      <c r="AC44" s="14">
        <f>SUM('NEW Summary 1990-2025 CO2'!AC44)</f>
        <v>-864.89704205231646</v>
      </c>
      <c r="AD44" s="14">
        <f>SUM('NEW Summary 1990-2025 CO2'!AD44)</f>
        <v>-823.16890760700608</v>
      </c>
      <c r="AE44" s="14">
        <f>SUM('NEW Summary 1990-2025 CO2'!AE44)</f>
        <v>-870.24226175487354</v>
      </c>
      <c r="AF44" s="14">
        <f>SUM('NEW Summary 1990-2025 CO2'!AF44)</f>
        <v>-826.9514345516543</v>
      </c>
      <c r="AG44" s="14">
        <f>SUM('NEW Summary 1990-2025 CO2'!AG44)</f>
        <v>-976.46006876831063</v>
      </c>
      <c r="AH44" s="14">
        <f>SUM('NEW Summary 1990-2025 CO2'!AH44)</f>
        <v>-943.2295072280707</v>
      </c>
      <c r="AI44" s="14">
        <f>SUM('NEW Summary 1990-2025 CO2'!AI44)</f>
        <v>-936.23488143632403</v>
      </c>
      <c r="AJ44" s="14">
        <f>SUM('NEW Summary 1990-2025 CO2'!AJ44)</f>
        <v>-786.62074189124758</v>
      </c>
      <c r="AK44" s="25">
        <v>-786.62074189124758</v>
      </c>
      <c r="AL44" s="15"/>
      <c r="AM44" s="15">
        <f t="shared" si="16"/>
        <v>-1.4259731367011922E-2</v>
      </c>
      <c r="AN44" s="15">
        <f t="shared" si="26"/>
        <v>0.90445026799925143</v>
      </c>
      <c r="AO44" s="10"/>
      <c r="AP44" s="16">
        <f t="shared" si="18"/>
        <v>0</v>
      </c>
      <c r="AQ44" s="17">
        <f t="shared" si="19"/>
        <v>0</v>
      </c>
      <c r="AS44" s="17">
        <f t="shared" si="9"/>
        <v>0</v>
      </c>
      <c r="AU44" s="18">
        <f t="shared" si="20"/>
        <v>-0.26060743326990005</v>
      </c>
      <c r="AW44" s="18">
        <f t="shared" si="21"/>
        <v>-4.439935155229062E-2</v>
      </c>
    </row>
    <row r="45" spans="1:51" outlineLevel="1" x14ac:dyDescent="0.25">
      <c r="A45" s="13" t="s">
        <v>52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5"/>
      <c r="AM45" s="15"/>
      <c r="AN45" s="15"/>
      <c r="AO45" s="10"/>
      <c r="AP45" s="16"/>
      <c r="AQ45" s="17"/>
      <c r="AS45" s="17"/>
      <c r="AU45" s="17"/>
      <c r="AW45" s="17"/>
    </row>
    <row r="46" spans="1:51" x14ac:dyDescent="0.25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7"/>
      <c r="AH46" s="27"/>
      <c r="AI46" s="27"/>
      <c r="AJ46" s="27"/>
      <c r="AK46" s="27"/>
      <c r="AL46" s="28"/>
      <c r="AM46" s="28"/>
      <c r="AO46" s="10"/>
      <c r="AP46" s="29"/>
      <c r="AQ46" s="23"/>
      <c r="AS46" s="23"/>
      <c r="AU46" s="23"/>
      <c r="AW46" s="23"/>
    </row>
    <row r="47" spans="1:51" x14ac:dyDescent="0.25">
      <c r="A47" s="30" t="s">
        <v>53</v>
      </c>
      <c r="B47" s="12">
        <f>SUM(B2,B7,B8,B9,B10,B11,B17,B23,B24,B32)</f>
        <v>55731.704570745962</v>
      </c>
      <c r="C47" s="12">
        <f t="shared" ref="C47:AK47" si="28">SUM(C2,C7,C8,C9,C10,C11,C17,C23,C24,C32)</f>
        <v>56505.616900375462</v>
      </c>
      <c r="D47" s="12">
        <f t="shared" si="28"/>
        <v>56501.508385931324</v>
      </c>
      <c r="E47" s="12">
        <f t="shared" si="28"/>
        <v>56958.893747125934</v>
      </c>
      <c r="F47" s="12">
        <f t="shared" si="28"/>
        <v>58279.855088532131</v>
      </c>
      <c r="G47" s="12">
        <f t="shared" si="28"/>
        <v>59679.662616362228</v>
      </c>
      <c r="H47" s="12">
        <f t="shared" si="28"/>
        <v>61747.723738872599</v>
      </c>
      <c r="I47" s="12">
        <f t="shared" si="28"/>
        <v>63071.792449565408</v>
      </c>
      <c r="J47" s="12">
        <f t="shared" si="28"/>
        <v>65545.357269062821</v>
      </c>
      <c r="K47" s="12">
        <f t="shared" si="28"/>
        <v>66732.845699014681</v>
      </c>
      <c r="L47" s="12">
        <f t="shared" si="28"/>
        <v>68854.471895681258</v>
      </c>
      <c r="M47" s="12">
        <f t="shared" si="28"/>
        <v>70847.331065547813</v>
      </c>
      <c r="N47" s="12">
        <f t="shared" si="28"/>
        <v>68932.869453975654</v>
      </c>
      <c r="O47" s="12">
        <f t="shared" si="28"/>
        <v>69358.487863165472</v>
      </c>
      <c r="P47" s="12">
        <f t="shared" si="28"/>
        <v>68669.856516399552</v>
      </c>
      <c r="Q47" s="12">
        <f t="shared" si="28"/>
        <v>70063.546890335478</v>
      </c>
      <c r="R47" s="12">
        <f t="shared" si="28"/>
        <v>69189.463540359502</v>
      </c>
      <c r="S47" s="12">
        <f t="shared" si="28"/>
        <v>68558.658256830342</v>
      </c>
      <c r="T47" s="12">
        <f t="shared" si="28"/>
        <v>67808.423608970043</v>
      </c>
      <c r="U47" s="12">
        <f t="shared" si="28"/>
        <v>62062.008384133529</v>
      </c>
      <c r="V47" s="12">
        <f t="shared" si="28"/>
        <v>61687.00271398</v>
      </c>
      <c r="W47" s="12">
        <f t="shared" si="28"/>
        <v>57726.680694653049</v>
      </c>
      <c r="X47" s="12">
        <f t="shared" si="28"/>
        <v>58254.183550485657</v>
      </c>
      <c r="Y47" s="12">
        <f t="shared" si="28"/>
        <v>57908.246040282262</v>
      </c>
      <c r="Z47" s="12">
        <f t="shared" si="28"/>
        <v>58009.094699838417</v>
      </c>
      <c r="AA47" s="12">
        <f t="shared" si="28"/>
        <v>60309.233327996742</v>
      </c>
      <c r="AB47" s="12">
        <f t="shared" si="28"/>
        <v>62625.950312500499</v>
      </c>
      <c r="AC47" s="12">
        <f t="shared" si="28"/>
        <v>61880.791004222629</v>
      </c>
      <c r="AD47" s="12">
        <f t="shared" si="28"/>
        <v>61540.228242461417</v>
      </c>
      <c r="AE47" s="12">
        <f t="shared" si="28"/>
        <v>59739.328316996041</v>
      </c>
      <c r="AF47" s="12">
        <f t="shared" si="28"/>
        <v>57615.254168375301</v>
      </c>
      <c r="AG47" s="12">
        <f t="shared" si="28"/>
        <v>60179.940183401377</v>
      </c>
      <c r="AH47" s="12">
        <f t="shared" si="28"/>
        <v>58950.787366072524</v>
      </c>
      <c r="AI47" s="12">
        <f t="shared" si="28"/>
        <v>54919.308270614216</v>
      </c>
      <c r="AJ47" s="12">
        <f t="shared" si="28"/>
        <v>53865.595376487137</v>
      </c>
      <c r="AK47" s="12">
        <f t="shared" si="28"/>
        <v>52649.67282907576</v>
      </c>
      <c r="AL47" s="9">
        <f>AK47/$AK$47</f>
        <v>1</v>
      </c>
      <c r="AM47" s="9">
        <f>AK47/$AK$47</f>
        <v>1</v>
      </c>
      <c r="AN47" s="9">
        <f>(AK47-B47)/B47</f>
        <v>-5.5301228724448273E-2</v>
      </c>
      <c r="AO47" s="10"/>
      <c r="AP47" s="11">
        <f>(AK47-AJ47)/AJ47</f>
        <v>-2.2573268501217374E-2</v>
      </c>
      <c r="AQ47" s="12">
        <f>AK47-AJ47</f>
        <v>-1215.9225474113773</v>
      </c>
      <c r="AS47" s="12">
        <f>AQ47/1000</f>
        <v>-1.2159225474113773</v>
      </c>
      <c r="AU47" s="9">
        <f>(AK47-Q47)/Q47</f>
        <v>-0.2485439980438926</v>
      </c>
      <c r="AW47" s="9">
        <f>(AK47-AD47)/AD47</f>
        <v>-0.14446737796223133</v>
      </c>
      <c r="AY47" s="31"/>
    </row>
    <row r="48" spans="1:51" x14ac:dyDescent="0.25">
      <c r="A48" s="30" t="s">
        <v>54</v>
      </c>
      <c r="B48" s="12">
        <f>SUM(B2,B7,B8,B9,B10,B11,B17,B23,B24,B32,B37)</f>
        <v>62052.53618901864</v>
      </c>
      <c r="C48" s="12">
        <f t="shared" ref="C48:AK48" si="29">SUM(C2,C7,C8,C9,C10,C11,C17,C23,C24,C32,C37)</f>
        <v>62534.038831123522</v>
      </c>
      <c r="D48" s="12">
        <f t="shared" si="29"/>
        <v>62448.66962090585</v>
      </c>
      <c r="E48" s="12">
        <f t="shared" si="29"/>
        <v>63084.09216899961</v>
      </c>
      <c r="F48" s="12">
        <f t="shared" si="29"/>
        <v>64229.559569870537</v>
      </c>
      <c r="G48" s="12">
        <f t="shared" si="29"/>
        <v>66443.937384228513</v>
      </c>
      <c r="H48" s="12">
        <f t="shared" si="29"/>
        <v>68537.981726017751</v>
      </c>
      <c r="I48" s="12">
        <f t="shared" si="29"/>
        <v>69295.879028149808</v>
      </c>
      <c r="J48" s="12">
        <f t="shared" si="29"/>
        <v>71629.574584536589</v>
      </c>
      <c r="K48" s="12">
        <f t="shared" si="29"/>
        <v>72347.615203480818</v>
      </c>
      <c r="L48" s="12">
        <f t="shared" si="29"/>
        <v>75100.213884210141</v>
      </c>
      <c r="M48" s="12">
        <f t="shared" si="29"/>
        <v>79051.635241332173</v>
      </c>
      <c r="N48" s="12">
        <f t="shared" si="29"/>
        <v>76487.023574962252</v>
      </c>
      <c r="O48" s="12">
        <f t="shared" si="29"/>
        <v>76933.738577909855</v>
      </c>
      <c r="P48" s="12">
        <f t="shared" si="29"/>
        <v>75144.448677465538</v>
      </c>
      <c r="Q48" s="12">
        <f t="shared" si="29"/>
        <v>76271.075450658274</v>
      </c>
      <c r="R48" s="12">
        <f t="shared" si="29"/>
        <v>73634.887843275108</v>
      </c>
      <c r="S48" s="12">
        <f t="shared" si="29"/>
        <v>72598.637512089917</v>
      </c>
      <c r="T48" s="12">
        <f t="shared" si="29"/>
        <v>70972.292670241164</v>
      </c>
      <c r="U48" s="12">
        <f t="shared" si="29"/>
        <v>65131.459011108018</v>
      </c>
      <c r="V48" s="12">
        <f t="shared" si="29"/>
        <v>65879.228066640513</v>
      </c>
      <c r="W48" s="12">
        <f t="shared" si="29"/>
        <v>61191.903319215715</v>
      </c>
      <c r="X48" s="12">
        <f t="shared" si="29"/>
        <v>61145.80256149359</v>
      </c>
      <c r="Y48" s="12">
        <f t="shared" si="29"/>
        <v>61045.369958131269</v>
      </c>
      <c r="Z48" s="12">
        <f t="shared" si="29"/>
        <v>60963.357858899835</v>
      </c>
      <c r="AA48" s="12">
        <f t="shared" si="29"/>
        <v>63318.310363415061</v>
      </c>
      <c r="AB48" s="12">
        <f t="shared" si="29"/>
        <v>65329.079844883636</v>
      </c>
      <c r="AC48" s="12">
        <f t="shared" si="29"/>
        <v>65885.484653908235</v>
      </c>
      <c r="AD48" s="12">
        <f t="shared" si="29"/>
        <v>64538.682901576001</v>
      </c>
      <c r="AE48" s="12">
        <f t="shared" si="29"/>
        <v>62644.111833235809</v>
      </c>
      <c r="AF48" s="12">
        <f t="shared" si="29"/>
        <v>60833.661014976213</v>
      </c>
      <c r="AG48" s="12">
        <f t="shared" si="29"/>
        <v>63051.877431072942</v>
      </c>
      <c r="AH48" s="12">
        <f t="shared" si="29"/>
        <v>61419.758835493427</v>
      </c>
      <c r="AI48" s="12">
        <f t="shared" si="29"/>
        <v>57884.270811435563</v>
      </c>
      <c r="AJ48" s="12">
        <f t="shared" si="29"/>
        <v>56379.706607957902</v>
      </c>
      <c r="AK48" s="12">
        <f t="shared" si="29"/>
        <v>55163.784060546524</v>
      </c>
      <c r="AL48" s="9">
        <f>AK48/$AK$48</f>
        <v>1</v>
      </c>
      <c r="AM48" s="9">
        <f>AK48/$AK$48</f>
        <v>1</v>
      </c>
      <c r="AN48" s="9">
        <f>(AK48-B48)/B48</f>
        <v>-0.11101483600103373</v>
      </c>
      <c r="AO48" s="10"/>
      <c r="AP48" s="11">
        <f>(AK48-AJ48)/AJ48</f>
        <v>-2.1566670360071576E-2</v>
      </c>
      <c r="AQ48" s="12">
        <f>AK48-AJ48</f>
        <v>-1215.9225474113773</v>
      </c>
      <c r="AS48" s="12">
        <f>AQ48/1000</f>
        <v>-1.2159225474113773</v>
      </c>
      <c r="AU48" s="9">
        <f>(AK48-Q48)/Q48</f>
        <v>-0.2767404453837366</v>
      </c>
      <c r="AW48" s="9">
        <f>(AK48-AD48)/AD48</f>
        <v>-0.14526015126968986</v>
      </c>
      <c r="AY48" s="31"/>
    </row>
    <row r="49" spans="2:43" customFormat="1" x14ac:dyDescent="0.25"/>
    <row r="50" spans="2:43" customFormat="1" x14ac:dyDescent="0.25"/>
    <row r="51" spans="2:43" customFormat="1" x14ac:dyDescent="0.25"/>
    <row r="52" spans="2:43" customFormat="1" x14ac:dyDescent="0.25"/>
    <row r="53" spans="2:43" customFormat="1" x14ac:dyDescent="0.25"/>
    <row r="54" spans="2:43" customFormat="1" x14ac:dyDescent="0.25"/>
    <row r="55" spans="2:43" customFormat="1" x14ac:dyDescent="0.25"/>
    <row r="56" spans="2:43" customFormat="1" x14ac:dyDescent="0.25"/>
    <row r="57" spans="2:43" customFormat="1" x14ac:dyDescent="0.25"/>
    <row r="58" spans="2:43" x14ac:dyDescent="0.25">
      <c r="B58" s="23"/>
      <c r="C58" s="23"/>
      <c r="E58" s="10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</row>
    <row r="59" spans="2:43" x14ac:dyDescent="0.25"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</row>
    <row r="60" spans="2:43" x14ac:dyDescent="0.25"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</row>
    <row r="61" spans="2:43" x14ac:dyDescent="0.25"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 s="23"/>
    </row>
    <row r="62" spans="2:43" x14ac:dyDescent="0.25"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 s="23"/>
    </row>
    <row r="63" spans="2:43" x14ac:dyDescent="0.25"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 s="23"/>
    </row>
    <row r="64" spans="2:43" x14ac:dyDescent="0.25"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 s="23"/>
    </row>
    <row r="65" spans="26:43" x14ac:dyDescent="0.25"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 s="23"/>
    </row>
    <row r="66" spans="26:43" x14ac:dyDescent="0.25"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 s="23"/>
    </row>
    <row r="67" spans="26:43" x14ac:dyDescent="0.25"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 s="23"/>
    </row>
    <row r="68" spans="26:43" x14ac:dyDescent="0.25"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 s="23"/>
    </row>
    <row r="69" spans="26:43" x14ac:dyDescent="0.25"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 s="23"/>
    </row>
    <row r="70" spans="26:43" x14ac:dyDescent="0.25"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</row>
    <row r="71" spans="26:43" x14ac:dyDescent="0.25"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</row>
    <row r="72" spans="26:43" x14ac:dyDescent="0.25"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</row>
    <row r="73" spans="26:43" x14ac:dyDescent="0.25"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</row>
    <row r="74" spans="26:43" x14ac:dyDescent="0.25"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</row>
    <row r="86" spans="2:40" x14ac:dyDescent="0.25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3"/>
      <c r="AN86" s="23"/>
    </row>
    <row r="87" spans="2:40" x14ac:dyDescent="0.25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AE209-FD94-4CD4-B492-C61EE9BFE808}">
  <sheetPr>
    <tabColor rgb="FFFF0000"/>
    <outlinePr summaryBelow="0"/>
  </sheetPr>
  <dimension ref="A1:AV69"/>
  <sheetViews>
    <sheetView zoomScale="75" zoomScaleNormal="75" workbookViewId="0">
      <pane ySplit="1" topLeftCell="A2" activePane="bottomLeft" state="frozen"/>
      <selection activeCell="AJ21" sqref="AJ21"/>
      <selection pane="bottomLeft"/>
    </sheetView>
  </sheetViews>
  <sheetFormatPr defaultColWidth="9.28515625" defaultRowHeight="15" outlineLevelRow="1" x14ac:dyDescent="0.25"/>
  <cols>
    <col min="1" max="1" width="41" style="48" customWidth="1"/>
    <col min="2" max="34" width="9.85546875" style="48" bestFit="1" customWidth="1"/>
    <col min="35" max="37" width="9.85546875" style="48" customWidth="1"/>
    <col min="38" max="38" width="9.42578125" style="48" customWidth="1"/>
    <col min="39" max="39" width="11" style="48" bestFit="1" customWidth="1"/>
    <col min="40" max="40" width="5.7109375" style="48" customWidth="1"/>
    <col min="41" max="41" width="10.28515625" style="48" bestFit="1" customWidth="1"/>
    <col min="42" max="42" width="9.28515625" style="48" bestFit="1" customWidth="1"/>
    <col min="43" max="43" width="13.5703125" style="48" customWidth="1"/>
    <col min="44" max="16384" width="9.28515625" style="48"/>
  </cols>
  <sheetData>
    <row r="1" spans="1:42" ht="30" x14ac:dyDescent="0.25">
      <c r="A1" s="1" t="s">
        <v>0</v>
      </c>
      <c r="B1" s="44">
        <v>1990</v>
      </c>
      <c r="C1" s="44">
        <v>1991</v>
      </c>
      <c r="D1" s="44">
        <v>1992</v>
      </c>
      <c r="E1" s="44">
        <v>1993</v>
      </c>
      <c r="F1" s="44">
        <v>1994</v>
      </c>
      <c r="G1" s="44">
        <v>1995</v>
      </c>
      <c r="H1" s="44">
        <v>1996</v>
      </c>
      <c r="I1" s="44">
        <v>1997</v>
      </c>
      <c r="J1" s="44">
        <v>1998</v>
      </c>
      <c r="K1" s="44">
        <v>1999</v>
      </c>
      <c r="L1" s="44">
        <v>2000</v>
      </c>
      <c r="M1" s="44">
        <v>2001</v>
      </c>
      <c r="N1" s="44">
        <v>2002</v>
      </c>
      <c r="O1" s="44">
        <v>2003</v>
      </c>
      <c r="P1" s="44">
        <v>2004</v>
      </c>
      <c r="Q1" s="44">
        <v>2005</v>
      </c>
      <c r="R1" s="44">
        <v>2006</v>
      </c>
      <c r="S1" s="44">
        <v>2007</v>
      </c>
      <c r="T1" s="44">
        <v>2008</v>
      </c>
      <c r="U1" s="44">
        <v>2009</v>
      </c>
      <c r="V1" s="44">
        <v>2010</v>
      </c>
      <c r="W1" s="44">
        <v>2011</v>
      </c>
      <c r="X1" s="44">
        <v>2012</v>
      </c>
      <c r="Y1" s="44">
        <v>2013</v>
      </c>
      <c r="Z1" s="44">
        <v>2014</v>
      </c>
      <c r="AA1" s="44">
        <v>2015</v>
      </c>
      <c r="AB1" s="44">
        <v>2016</v>
      </c>
      <c r="AC1" s="44">
        <v>2017</v>
      </c>
      <c r="AD1" s="44">
        <v>2018</v>
      </c>
      <c r="AE1" s="44">
        <v>2019</v>
      </c>
      <c r="AF1" s="44">
        <v>2020</v>
      </c>
      <c r="AG1" s="44">
        <v>2021</v>
      </c>
      <c r="AH1" s="44">
        <v>2022</v>
      </c>
      <c r="AI1" s="44">
        <v>2023</v>
      </c>
      <c r="AJ1" s="44">
        <v>2024</v>
      </c>
      <c r="AK1" s="44">
        <v>2025</v>
      </c>
      <c r="AL1" s="1" t="s">
        <v>1</v>
      </c>
      <c r="AM1" s="45" t="s">
        <v>3</v>
      </c>
      <c r="AN1" s="46"/>
      <c r="AO1" s="45" t="s">
        <v>4</v>
      </c>
      <c r="AP1" s="47" t="s">
        <v>5</v>
      </c>
    </row>
    <row r="2" spans="1:42" x14ac:dyDescent="0.25">
      <c r="A2" s="49" t="s">
        <v>9</v>
      </c>
      <c r="B2" s="50">
        <f t="shared" ref="B2:AA2" si="0">SUM(B3:B6)</f>
        <v>11145.011029805726</v>
      </c>
      <c r="C2" s="50">
        <f t="shared" si="0"/>
        <v>11604.440029894082</v>
      </c>
      <c r="D2" s="50">
        <f t="shared" si="0"/>
        <v>12263.692158654012</v>
      </c>
      <c r="E2" s="50">
        <f t="shared" si="0"/>
        <v>12282.240390803796</v>
      </c>
      <c r="F2" s="50">
        <f t="shared" si="0"/>
        <v>12618.228688682681</v>
      </c>
      <c r="G2" s="50">
        <f t="shared" si="0"/>
        <v>13301.423088226002</v>
      </c>
      <c r="H2" s="50">
        <f t="shared" si="0"/>
        <v>14016.860234679363</v>
      </c>
      <c r="I2" s="50">
        <f t="shared" si="0"/>
        <v>14674.037600115458</v>
      </c>
      <c r="J2" s="50">
        <f t="shared" si="0"/>
        <v>15057.155337311062</v>
      </c>
      <c r="K2" s="50">
        <f t="shared" si="0"/>
        <v>15751.36904223563</v>
      </c>
      <c r="L2" s="50">
        <f t="shared" si="0"/>
        <v>16028.412117111155</v>
      </c>
      <c r="M2" s="50">
        <f t="shared" si="0"/>
        <v>17295.062684731107</v>
      </c>
      <c r="N2" s="50">
        <f t="shared" si="0"/>
        <v>16314.652685628396</v>
      </c>
      <c r="O2" s="50">
        <f t="shared" si="0"/>
        <v>15611.001856173074</v>
      </c>
      <c r="P2" s="50">
        <f t="shared" si="0"/>
        <v>15234.560260451177</v>
      </c>
      <c r="Q2" s="50">
        <f t="shared" si="0"/>
        <v>15718.55852912308</v>
      </c>
      <c r="R2" s="50">
        <f t="shared" si="0"/>
        <v>14958.719401812081</v>
      </c>
      <c r="S2" s="50">
        <f t="shared" si="0"/>
        <v>14458.258069466494</v>
      </c>
      <c r="T2" s="50">
        <f t="shared" si="0"/>
        <v>14555.129184062591</v>
      </c>
      <c r="U2" s="50">
        <f t="shared" si="0"/>
        <v>12972.037027590201</v>
      </c>
      <c r="V2" s="50">
        <f t="shared" si="0"/>
        <v>13227.94670171753</v>
      </c>
      <c r="W2" s="50">
        <f t="shared" si="0"/>
        <v>11844.519983734399</v>
      </c>
      <c r="X2" s="50">
        <f t="shared" si="0"/>
        <v>12683.367289445267</v>
      </c>
      <c r="Y2" s="50">
        <f t="shared" si="0"/>
        <v>11331.519840127901</v>
      </c>
      <c r="Z2" s="50">
        <f t="shared" si="0"/>
        <v>11126.449928995806</v>
      </c>
      <c r="AA2" s="50">
        <f t="shared" si="0"/>
        <v>11737.910438619858</v>
      </c>
      <c r="AB2" s="50">
        <f>SUM(AB3:AB6)</f>
        <v>12443.942596395935</v>
      </c>
      <c r="AC2" s="50">
        <f>SUM(AC3:AC6)</f>
        <v>11629.260433508724</v>
      </c>
      <c r="AD2" s="50">
        <f t="shared" ref="AD2:AK2" si="1">SUM(AD3:AD6)</f>
        <v>10296.714731072618</v>
      </c>
      <c r="AE2" s="50">
        <f t="shared" si="1"/>
        <v>9055.4715260838748</v>
      </c>
      <c r="AF2" s="50">
        <f t="shared" si="1"/>
        <v>8422.8064131867395</v>
      </c>
      <c r="AG2" s="50">
        <f t="shared" si="1"/>
        <v>9972.1706734861818</v>
      </c>
      <c r="AH2" s="50">
        <f t="shared" si="1"/>
        <v>9782.0038699877332</v>
      </c>
      <c r="AI2" s="50">
        <f t="shared" si="1"/>
        <v>7651.1660899651106</v>
      </c>
      <c r="AJ2" s="50">
        <f t="shared" si="1"/>
        <v>6954.3321919848277</v>
      </c>
      <c r="AK2" s="50">
        <f t="shared" si="1"/>
        <v>6454.8402272943158</v>
      </c>
      <c r="AL2" s="9">
        <f t="shared" ref="AL2:AL18" si="2">AK2/$AK$47</f>
        <v>0.20462704354953615</v>
      </c>
      <c r="AM2" s="9">
        <f t="shared" ref="AM2:AM18" si="3">(AK2-B2)/B2</f>
        <v>-0.42083141864716189</v>
      </c>
      <c r="AN2" s="6"/>
      <c r="AO2" s="11">
        <f t="shared" ref="AO2:AO18" si="4">(AK2-AJ2)/AJ2</f>
        <v>-7.1824576523134481E-2</v>
      </c>
      <c r="AP2" s="12">
        <f t="shared" ref="AP2:AP18" si="5">AK2-AJ2</f>
        <v>-499.49196469051185</v>
      </c>
    </row>
    <row r="3" spans="1:42" outlineLevel="1" x14ac:dyDescent="0.25">
      <c r="A3" s="51" t="s">
        <v>10</v>
      </c>
      <c r="B3" s="52">
        <f>#REF!+#REF!</f>
        <v>10876.49</v>
      </c>
      <c r="C3" s="52">
        <f>#REF!+#REF!</f>
        <v>11361.810000000001</v>
      </c>
      <c r="D3" s="52">
        <f>#REF!+#REF!</f>
        <v>12027.130000000001</v>
      </c>
      <c r="E3" s="52">
        <f>#REF!+#REF!</f>
        <v>12047.519999999999</v>
      </c>
      <c r="F3" s="52">
        <f>#REF!+#REF!</f>
        <v>12368.4</v>
      </c>
      <c r="G3" s="52">
        <f>#REF!+#REF!</f>
        <v>13051.270999999999</v>
      </c>
      <c r="H3" s="52">
        <f>#REF!+#REF!</f>
        <v>13765.810000000001</v>
      </c>
      <c r="I3" s="52">
        <f>#REF!+#REF!</f>
        <v>14404.19</v>
      </c>
      <c r="J3" s="52">
        <f>#REF!+#REF!</f>
        <v>14730.09</v>
      </c>
      <c r="K3" s="52">
        <f>#REF!+#REF!</f>
        <v>15411.99</v>
      </c>
      <c r="L3" s="52">
        <f>#REF!+#REF!</f>
        <v>15667.305</v>
      </c>
      <c r="M3" s="52">
        <f>#REF!+#REF!</f>
        <v>16799.705999999998</v>
      </c>
      <c r="N3" s="52">
        <f>#REF!+#REF!</f>
        <v>15830.458000000001</v>
      </c>
      <c r="O3" s="52">
        <f>#REF!+#REF!</f>
        <v>15108.59</v>
      </c>
      <c r="P3" s="52">
        <f>#REF!+#REF!</f>
        <v>14736.822</v>
      </c>
      <c r="Q3" s="52">
        <f>#REF!+#REF!</f>
        <v>15136.447757829999</v>
      </c>
      <c r="R3" s="52">
        <f>#REF!+#REF!</f>
        <v>14410.774854998934</v>
      </c>
      <c r="S3" s="52">
        <f>#REF!+#REF!</f>
        <v>13932.81325075683</v>
      </c>
      <c r="T3" s="52">
        <f>#REF!+#REF!</f>
        <v>14005.000329140019</v>
      </c>
      <c r="U3" s="52">
        <f>#REF!+#REF!</f>
        <v>12466.315535650141</v>
      </c>
      <c r="V3" s="52">
        <f>#REF!+#REF!</f>
        <v>12745.138537904344</v>
      </c>
      <c r="W3" s="52">
        <f>#REF!+#REF!</f>
        <v>11424.018996329407</v>
      </c>
      <c r="X3" s="52">
        <f>#REF!+#REF!</f>
        <v>12225.174473821558</v>
      </c>
      <c r="Y3" s="52">
        <f>#REF!+#REF!</f>
        <v>10876.661078072124</v>
      </c>
      <c r="Z3" s="52">
        <f>#REF!+#REF!</f>
        <v>10713.866049718641</v>
      </c>
      <c r="AA3" s="52">
        <f>#REF!+#REF!</f>
        <v>11264.978122328472</v>
      </c>
      <c r="AB3" s="52">
        <f>#REF!+#REF!</f>
        <v>12004.383473448423</v>
      </c>
      <c r="AC3" s="52">
        <f>#REF!+#REF!</f>
        <v>11184.925134071738</v>
      </c>
      <c r="AD3" s="52">
        <f>#REF!+#REF!</f>
        <v>9856.5323853482041</v>
      </c>
      <c r="AE3" s="52">
        <f>#REF!+#REF!</f>
        <v>8674.0633039387249</v>
      </c>
      <c r="AF3" s="52">
        <f>#REF!+#REF!</f>
        <v>8030.2926201031914</v>
      </c>
      <c r="AG3" s="52">
        <f>#REF!+#REF!</f>
        <v>9597.2382816119753</v>
      </c>
      <c r="AH3" s="52">
        <f>#REF!+#REF!</f>
        <v>9407.1920876836284</v>
      </c>
      <c r="AI3" s="52">
        <f>#REF!+#REF!</f>
        <v>7330.5767976556745</v>
      </c>
      <c r="AJ3" s="52">
        <f>#REF!+#REF!</f>
        <v>6739.8535453199866</v>
      </c>
      <c r="AK3" s="52">
        <f>#REF!+#REF!</f>
        <v>6157.5072887504621</v>
      </c>
      <c r="AL3" s="15">
        <f t="shared" si="2"/>
        <v>0.19520119286668691</v>
      </c>
      <c r="AM3" s="15">
        <f t="shared" si="3"/>
        <v>-0.43386999953565331</v>
      </c>
      <c r="AN3" s="29"/>
      <c r="AO3" s="16">
        <f t="shared" si="4"/>
        <v>-8.6403399221321883E-2</v>
      </c>
      <c r="AP3" s="17">
        <f t="shared" si="5"/>
        <v>-582.34625656952448</v>
      </c>
    </row>
    <row r="4" spans="1:42" outlineLevel="1" x14ac:dyDescent="0.25">
      <c r="A4" s="51" t="s">
        <v>11</v>
      </c>
      <c r="B4" s="52">
        <f>(#REF!)</f>
        <v>168.38546672930403</v>
      </c>
      <c r="C4" s="52">
        <f>(#REF!)</f>
        <v>166.400025586308</v>
      </c>
      <c r="D4" s="52">
        <f>(#REF!)</f>
        <v>171.56642282161201</v>
      </c>
      <c r="E4" s="52">
        <f>(#REF!)</f>
        <v>172.39224186554404</v>
      </c>
      <c r="F4" s="52">
        <f>(#REF!)</f>
        <v>177.99573913678799</v>
      </c>
      <c r="G4" s="52">
        <f>(#REF!)</f>
        <v>180.999100216584</v>
      </c>
      <c r="H4" s="52">
        <f>(#REF!)</f>
        <v>179.11922107132801</v>
      </c>
      <c r="I4" s="52">
        <f>(#REF!)</f>
        <v>218.40021522896402</v>
      </c>
      <c r="J4" s="52">
        <f>(#REF!)</f>
        <v>247.45239241927203</v>
      </c>
      <c r="K4" s="52">
        <f>(#REF!)</f>
        <v>223.50523581846002</v>
      </c>
      <c r="L4" s="52">
        <f>(#REF!)</f>
        <v>274.32014648417999</v>
      </c>
      <c r="M4" s="52">
        <f>(#REF!)</f>
        <v>320.95354549698004</v>
      </c>
      <c r="N4" s="52">
        <f>(#REF!)</f>
        <v>339.21083901373197</v>
      </c>
      <c r="O4" s="52">
        <f>(#REF!)</f>
        <v>337.07992042904408</v>
      </c>
      <c r="P4" s="52">
        <f>(#REF!)</f>
        <v>336.141905612112</v>
      </c>
      <c r="Q4" s="52">
        <f>(#REF!)</f>
        <v>411.21800000000002</v>
      </c>
      <c r="R4" s="52">
        <f>(#REF!)</f>
        <v>376.5308176376102</v>
      </c>
      <c r="S4" s="52">
        <f>(#REF!)</f>
        <v>360.19198</v>
      </c>
      <c r="T4" s="52">
        <f>(#REF!)</f>
        <v>366.87907000000001</v>
      </c>
      <c r="U4" s="52">
        <f>(#REF!)</f>
        <v>314.89792922108813</v>
      </c>
      <c r="V4" s="52">
        <f>(#REF!)</f>
        <v>310.10488082146713</v>
      </c>
      <c r="W4" s="52">
        <f>(#REF!)</f>
        <v>285.16534900815998</v>
      </c>
      <c r="X4" s="52">
        <f>(#REF!)</f>
        <v>313.28909084078663</v>
      </c>
      <c r="Y4" s="52">
        <f>(#REF!)</f>
        <v>294.25117342600697</v>
      </c>
      <c r="Z4" s="52">
        <f>(#REF!)</f>
        <v>279.17858068265889</v>
      </c>
      <c r="AA4" s="52">
        <f>(#REF!)</f>
        <v>358.36966350550995</v>
      </c>
      <c r="AB4" s="52">
        <f>(#REF!)</f>
        <v>313.24645613870541</v>
      </c>
      <c r="AC4" s="52">
        <f>(#REF!)</f>
        <v>310.85190716174128</v>
      </c>
      <c r="AD4" s="52">
        <f>(#REF!)</f>
        <v>321.84073845403282</v>
      </c>
      <c r="AE4" s="52">
        <f>(#REF!)</f>
        <v>274.23333468947789</v>
      </c>
      <c r="AF4" s="52">
        <f>(#REF!)</f>
        <v>300.68159079584188</v>
      </c>
      <c r="AG4" s="52">
        <f>(#REF!)</f>
        <v>294.05794525144739</v>
      </c>
      <c r="AH4" s="52">
        <f>(#REF!)</f>
        <v>307.96751416889452</v>
      </c>
      <c r="AI4" s="52">
        <f>(#REF!)</f>
        <v>286.85731932325092</v>
      </c>
      <c r="AJ4" s="52">
        <f>(#REF!)</f>
        <v>209.74558031817932</v>
      </c>
      <c r="AK4" s="52">
        <f>(#REF!)</f>
        <v>291.83571002126337</v>
      </c>
      <c r="AL4" s="15">
        <f t="shared" si="2"/>
        <v>9.2515812074348922E-3</v>
      </c>
      <c r="AM4" s="15">
        <f t="shared" si="3"/>
        <v>0.73314072579920198</v>
      </c>
      <c r="AN4" s="10"/>
      <c r="AO4" s="16">
        <f t="shared" si="4"/>
        <v>0.39137954458232288</v>
      </c>
      <c r="AP4" s="17">
        <f t="shared" si="5"/>
        <v>82.090129703084045</v>
      </c>
    </row>
    <row r="5" spans="1:42" outlineLevel="1" x14ac:dyDescent="0.25">
      <c r="A5" s="51" t="s">
        <v>12</v>
      </c>
      <c r="B5" s="52">
        <f>(#REF!)</f>
        <v>100.13426594215507</v>
      </c>
      <c r="C5" s="52">
        <f>(#REF!)</f>
        <v>76.228674882093415</v>
      </c>
      <c r="D5" s="52">
        <f>(#REF!)</f>
        <v>64.994420966561947</v>
      </c>
      <c r="E5" s="52">
        <f>(#REF!)</f>
        <v>62.326645745399738</v>
      </c>
      <c r="F5" s="52">
        <f>(#REF!)</f>
        <v>71.831424423142963</v>
      </c>
      <c r="G5" s="52">
        <f>(#REF!)</f>
        <v>69.151185277439168</v>
      </c>
      <c r="H5" s="52">
        <f>(#REF!)</f>
        <v>71.92811258959226</v>
      </c>
      <c r="I5" s="52">
        <f>(#REF!)</f>
        <v>51.443543650729268</v>
      </c>
      <c r="J5" s="52">
        <f>(#REF!)</f>
        <v>79.607856453791257</v>
      </c>
      <c r="K5" s="52">
        <f>(#REF!)</f>
        <v>77.602415435076225</v>
      </c>
      <c r="L5" s="52">
        <f>(#REF!)</f>
        <v>86.778921820303381</v>
      </c>
      <c r="M5" s="52">
        <f>(#REF!)</f>
        <v>118.34729150779896</v>
      </c>
      <c r="N5" s="52">
        <f>(#REF!)</f>
        <v>144.97432077428275</v>
      </c>
      <c r="O5" s="52">
        <f>(#REF!)</f>
        <v>165.32225426241661</v>
      </c>
      <c r="P5" s="52">
        <f>(#REF!)</f>
        <v>161.58598964806058</v>
      </c>
      <c r="Q5" s="52">
        <f>(#REF!)</f>
        <v>170.88350926737832</v>
      </c>
      <c r="R5" s="52">
        <f>(#REF!)</f>
        <v>171.403004318314</v>
      </c>
      <c r="S5" s="52">
        <f>(#REF!)</f>
        <v>165.23958997213396</v>
      </c>
      <c r="T5" s="52">
        <f>(#REF!)</f>
        <v>183.23643614994572</v>
      </c>
      <c r="U5" s="52">
        <f>(#REF!)</f>
        <v>190.80945617426468</v>
      </c>
      <c r="V5" s="52">
        <f>(#REF!)</f>
        <v>172.68677726154041</v>
      </c>
      <c r="W5" s="52">
        <f>(#REF!)</f>
        <v>135.32145505287954</v>
      </c>
      <c r="X5" s="52">
        <f>(#REF!)</f>
        <v>144.89117228320171</v>
      </c>
      <c r="Y5" s="52">
        <f>(#REF!)</f>
        <v>160.59575146391941</v>
      </c>
      <c r="Z5" s="52">
        <f>(#REF!)</f>
        <v>133.17983859822098</v>
      </c>
      <c r="AA5" s="52">
        <f>(#REF!)</f>
        <v>114.15759279964479</v>
      </c>
      <c r="AB5" s="52">
        <f>(#REF!)</f>
        <v>124.94529064217251</v>
      </c>
      <c r="AC5" s="52">
        <f>(#REF!)</f>
        <v>128.72322894453825</v>
      </c>
      <c r="AD5" s="52">
        <f>(#REF!)</f>
        <v>118.13685559237962</v>
      </c>
      <c r="AE5" s="52">
        <f>(#REF!)</f>
        <v>106.92273513048477</v>
      </c>
      <c r="AF5" s="52">
        <f>(#REF!)</f>
        <v>91.537359202560125</v>
      </c>
      <c r="AG5" s="52">
        <f>(#REF!)</f>
        <v>80.482753571383739</v>
      </c>
      <c r="AH5" s="52">
        <f>(#REF!)</f>
        <v>66.678177905646436</v>
      </c>
      <c r="AI5" s="52">
        <f>(#REF!)</f>
        <v>33.520289364204316</v>
      </c>
      <c r="AJ5" s="52">
        <f>(#REF!)</f>
        <v>4.4505049466922157</v>
      </c>
      <c r="AK5" s="52">
        <f>(#REF!)</f>
        <v>5.2347951904655377</v>
      </c>
      <c r="AL5" s="15">
        <f t="shared" si="2"/>
        <v>1.6594998879798799E-4</v>
      </c>
      <c r="AM5" s="15">
        <f t="shared" si="3"/>
        <v>-0.94772223932325483</v>
      </c>
      <c r="AN5" s="10"/>
      <c r="AO5" s="16">
        <f t="shared" si="4"/>
        <v>0.17622500214413561</v>
      </c>
      <c r="AP5" s="17">
        <f t="shared" si="5"/>
        <v>0.7842902437733219</v>
      </c>
    </row>
    <row r="6" spans="1:42" outlineLevel="1" x14ac:dyDescent="0.25">
      <c r="A6" s="51" t="s">
        <v>13</v>
      </c>
      <c r="B6" s="52">
        <f>(#REF!)+#REF!</f>
        <v>1.2971342670316762E-3</v>
      </c>
      <c r="C6" s="52">
        <f>(#REF!)+#REF!</f>
        <v>1.3294256793897345E-3</v>
      </c>
      <c r="D6" s="52">
        <f>(#REF!)+#REF!</f>
        <v>1.3148658362287684E-3</v>
      </c>
      <c r="E6" s="52">
        <f>(#REF!)+#REF!</f>
        <v>1.5031928535313662E-3</v>
      </c>
      <c r="F6" s="52">
        <f>(#REF!)+#REF!</f>
        <v>1.5251227506980825E-3</v>
      </c>
      <c r="G6" s="52">
        <f>(#REF!)+#REF!</f>
        <v>1.8027319798488177E-3</v>
      </c>
      <c r="H6" s="52">
        <f>(#REF!)+#REF!</f>
        <v>2.9010184403249362E-3</v>
      </c>
      <c r="I6" s="52">
        <f>(#REF!)+#REF!</f>
        <v>3.8412357639073589E-3</v>
      </c>
      <c r="J6" s="52">
        <f>(#REF!)+#REF!</f>
        <v>5.0884379979389471E-3</v>
      </c>
      <c r="K6" s="52">
        <f>(#REF!)+#REF!</f>
        <v>38.27139098209453</v>
      </c>
      <c r="L6" s="52">
        <f>(#REF!)+#REF!</f>
        <v>8.0488066702821479E-3</v>
      </c>
      <c r="M6" s="52">
        <f>(#REF!)+#REF!</f>
        <v>56.055847726327634</v>
      </c>
      <c r="N6" s="52">
        <f>(#REF!)+#REF!</f>
        <v>9.5258403796511775E-3</v>
      </c>
      <c r="O6" s="52">
        <f>(#REF!)+#REF!</f>
        <v>9.6814816141994262E-3</v>
      </c>
      <c r="P6" s="52">
        <f>(#REF!)+#REF!</f>
        <v>1.0365191005426504E-2</v>
      </c>
      <c r="Q6" s="52">
        <f>(#REF!)+#REF!</f>
        <v>9.2620257024709305E-3</v>
      </c>
      <c r="R6" s="52">
        <f>(#REF!)+#REF!</f>
        <v>1.0724857223379666E-2</v>
      </c>
      <c r="S6" s="52">
        <f>(#REF!)+#REF!</f>
        <v>1.3248737529875196E-2</v>
      </c>
      <c r="T6" s="52">
        <f>(#REF!)+#REF!</f>
        <v>1.3348772626015455E-2</v>
      </c>
      <c r="U6" s="52">
        <f>(#REF!)+#REF!</f>
        <v>1.4106544706762298E-2</v>
      </c>
      <c r="V6" s="52">
        <f>(#REF!)+#REF!</f>
        <v>1.6505730177772657E-2</v>
      </c>
      <c r="W6" s="52">
        <f>(#REF!)+#REF!</f>
        <v>1.4183343951356758E-2</v>
      </c>
      <c r="X6" s="52">
        <f>(#REF!)+#REF!</f>
        <v>1.2552499720544967E-2</v>
      </c>
      <c r="Y6" s="52">
        <f>(#REF!)+#REF!</f>
        <v>1.1837165849177871E-2</v>
      </c>
      <c r="Z6" s="52">
        <f>(#REF!)+#REF!</f>
        <v>0.22545999628499144</v>
      </c>
      <c r="AA6" s="52">
        <f>(#REF!)+#REF!</f>
        <v>0.40505998623209422</v>
      </c>
      <c r="AB6" s="52">
        <f>(#REF!)+#REF!</f>
        <v>1.3673761666343356</v>
      </c>
      <c r="AC6" s="52">
        <f>(#REF!)+#REF!</f>
        <v>4.760163330705967</v>
      </c>
      <c r="AD6" s="52">
        <f>(#REF!)+#REF!</f>
        <v>0.20475167800074748</v>
      </c>
      <c r="AE6" s="52">
        <f>(#REF!)+#REF!</f>
        <v>0.25215232518737213</v>
      </c>
      <c r="AF6" s="52">
        <f>(#REF!)+#REF!</f>
        <v>0.29484308514522733</v>
      </c>
      <c r="AG6" s="52">
        <f>(#REF!)+#REF!</f>
        <v>0.39169305137663302</v>
      </c>
      <c r="AH6" s="52">
        <f>(#REF!)+#REF!</f>
        <v>0.16609022956325431</v>
      </c>
      <c r="AI6" s="52">
        <f>(#REF!)+#REF!</f>
        <v>0.21168362198107091</v>
      </c>
      <c r="AJ6" s="52">
        <f>(#REF!)+#REF!</f>
        <v>0.28256139996910512</v>
      </c>
      <c r="AK6" s="52">
        <f>(#REF!)+#REF!</f>
        <v>0.26243333212479319</v>
      </c>
      <c r="AL6" s="15">
        <f t="shared" si="2"/>
        <v>8.319486616334087E-6</v>
      </c>
      <c r="AM6" s="15">
        <f t="shared" si="3"/>
        <v>201.31778528628183</v>
      </c>
      <c r="AN6" s="6"/>
      <c r="AO6" s="16">
        <f t="shared" si="4"/>
        <v>-7.1234315255065628E-2</v>
      </c>
      <c r="AP6" s="17">
        <f t="shared" si="5"/>
        <v>-2.0128067844311925E-2</v>
      </c>
    </row>
    <row r="7" spans="1:42" x14ac:dyDescent="0.25">
      <c r="A7" s="53" t="s">
        <v>14</v>
      </c>
      <c r="B7" s="50">
        <f>#REF!</f>
        <v>7048.0605646195017</v>
      </c>
      <c r="C7" s="50">
        <f>#REF!</f>
        <v>6965.1569907027688</v>
      </c>
      <c r="D7" s="50">
        <f>#REF!</f>
        <v>6245.232128657115</v>
      </c>
      <c r="E7" s="50">
        <f>#REF!</f>
        <v>6254.9134122062496</v>
      </c>
      <c r="F7" s="50">
        <f>#REF!</f>
        <v>6206.6314921948751</v>
      </c>
      <c r="G7" s="50">
        <f>#REF!</f>
        <v>6069.6705525670332</v>
      </c>
      <c r="H7" s="50">
        <f>#REF!</f>
        <v>6429.8696062037052</v>
      </c>
      <c r="I7" s="50">
        <f>#REF!</f>
        <v>6219.7110553112561</v>
      </c>
      <c r="J7" s="50">
        <f>#REF!</f>
        <v>6780.0567315760882</v>
      </c>
      <c r="K7" s="50">
        <f>#REF!</f>
        <v>6596.409419914291</v>
      </c>
      <c r="L7" s="50">
        <f>#REF!</f>
        <v>6699.5934626105263</v>
      </c>
      <c r="M7" s="50">
        <f>#REF!</f>
        <v>7065.8322682894195</v>
      </c>
      <c r="N7" s="50">
        <f>#REF!</f>
        <v>7085.5879953696312</v>
      </c>
      <c r="O7" s="50">
        <f>#REF!</f>
        <v>7336.2211317732608</v>
      </c>
      <c r="P7" s="50">
        <f>#REF!</f>
        <v>7507.5707904859337</v>
      </c>
      <c r="Q7" s="50">
        <f>#REF!</f>
        <v>7937.022463126139</v>
      </c>
      <c r="R7" s="50">
        <f>#REF!</f>
        <v>7821.9649095093373</v>
      </c>
      <c r="S7" s="50">
        <f>#REF!</f>
        <v>7667.1205566312346</v>
      </c>
      <c r="T7" s="50">
        <f>#REF!</f>
        <v>8439.8942344728166</v>
      </c>
      <c r="U7" s="50">
        <f>#REF!</f>
        <v>8304.4244385199454</v>
      </c>
      <c r="V7" s="50">
        <f>#REF!</f>
        <v>8627.963458429198</v>
      </c>
      <c r="W7" s="50">
        <f>#REF!</f>
        <v>7423.3528249546753</v>
      </c>
      <c r="X7" s="50">
        <f>#REF!</f>
        <v>6942.7935137176</v>
      </c>
      <c r="Y7" s="50">
        <f>#REF!</f>
        <v>6725.9533048823951</v>
      </c>
      <c r="Z7" s="50">
        <f>#REF!</f>
        <v>6053.3623141480848</v>
      </c>
      <c r="AA7" s="50">
        <f>#REF!</f>
        <v>6439.6838253111928</v>
      </c>
      <c r="AB7" s="50">
        <f>#REF!</f>
        <v>6683.550629855652</v>
      </c>
      <c r="AC7" s="50">
        <f>#REF!</f>
        <v>6155.1313975069033</v>
      </c>
      <c r="AD7" s="50">
        <f>#REF!</f>
        <v>6634.1703485530616</v>
      </c>
      <c r="AE7" s="50">
        <f>#REF!</f>
        <v>6374.8155637284544</v>
      </c>
      <c r="AF7" s="50">
        <f>#REF!</f>
        <v>7010.9522317334413</v>
      </c>
      <c r="AG7" s="50">
        <f>#REF!</f>
        <v>6537.1072446500384</v>
      </c>
      <c r="AH7" s="50">
        <f>#REF!</f>
        <v>5484.8634320456549</v>
      </c>
      <c r="AI7" s="50">
        <f>#REF!</f>
        <v>5111.0993966418082</v>
      </c>
      <c r="AJ7" s="50">
        <f>#REF!</f>
        <v>5366.1444781411947</v>
      </c>
      <c r="AK7" s="50">
        <f>#REF!</f>
        <v>5096.9489617333993</v>
      </c>
      <c r="AL7" s="9">
        <f t="shared" si="2"/>
        <v>0.16158007951183137</v>
      </c>
      <c r="AM7" s="9">
        <f t="shared" si="3"/>
        <v>-0.27682957389447965</v>
      </c>
      <c r="AN7" s="6"/>
      <c r="AO7" s="11">
        <f t="shared" si="4"/>
        <v>-5.0165536448814239E-2</v>
      </c>
      <c r="AP7" s="12">
        <f t="shared" si="5"/>
        <v>-269.19551640779537</v>
      </c>
    </row>
    <row r="8" spans="1:42" x14ac:dyDescent="0.25">
      <c r="A8" s="53" t="s">
        <v>15</v>
      </c>
      <c r="B8" s="50">
        <f>#REF!</f>
        <v>4057.7635904741737</v>
      </c>
      <c r="C8" s="50">
        <f>#REF!</f>
        <v>4344.710714420833</v>
      </c>
      <c r="D8" s="50">
        <f>#REF!</f>
        <v>4025.5601094124854</v>
      </c>
      <c r="E8" s="50">
        <f>#REF!</f>
        <v>4231.8615702155676</v>
      </c>
      <c r="F8" s="50">
        <f>#REF!</f>
        <v>4497.6301593672633</v>
      </c>
      <c r="G8" s="50">
        <f>#REF!</f>
        <v>4519.4529681669628</v>
      </c>
      <c r="H8" s="50">
        <f>#REF!</f>
        <v>4362.9992173704404</v>
      </c>
      <c r="I8" s="50">
        <f>#REF!</f>
        <v>4712.0721779029009</v>
      </c>
      <c r="J8" s="50">
        <f>#REF!</f>
        <v>4690.2392471872463</v>
      </c>
      <c r="K8" s="50">
        <f>#REF!</f>
        <v>4870.6401448610359</v>
      </c>
      <c r="L8" s="50">
        <f>#REF!</f>
        <v>5650.3597857771974</v>
      </c>
      <c r="M8" s="50">
        <f>#REF!</f>
        <v>5619.339144569316</v>
      </c>
      <c r="N8" s="50">
        <f>#REF!</f>
        <v>5287.4423718728494</v>
      </c>
      <c r="O8" s="50">
        <f>#REF!</f>
        <v>5401.734390828502</v>
      </c>
      <c r="P8" s="50">
        <f>#REF!</f>
        <v>5462.1180744396888</v>
      </c>
      <c r="Q8" s="50">
        <f>#REF!</f>
        <v>5580.8068516070853</v>
      </c>
      <c r="R8" s="50">
        <f>#REF!</f>
        <v>5379.7717825545069</v>
      </c>
      <c r="S8" s="50">
        <f>#REF!</f>
        <v>5456.7915964875074</v>
      </c>
      <c r="T8" s="50">
        <f>#REF!</f>
        <v>5298.6196201244011</v>
      </c>
      <c r="U8" s="50">
        <f>#REF!</f>
        <v>4267.798443708165</v>
      </c>
      <c r="V8" s="50">
        <f>#REF!</f>
        <v>4220.7480914264097</v>
      </c>
      <c r="W8" s="50">
        <f>#REF!</f>
        <v>3798.9810757666914</v>
      </c>
      <c r="X8" s="50">
        <f>#REF!</f>
        <v>3879.5308057114039</v>
      </c>
      <c r="Y8" s="50">
        <f>#REF!</f>
        <v>4098.3807367656855</v>
      </c>
      <c r="Z8" s="50">
        <f>#REF!</f>
        <v>4162.223680378369</v>
      </c>
      <c r="AA8" s="50">
        <f>#REF!</f>
        <v>4272.970009329083</v>
      </c>
      <c r="AB8" s="50">
        <f>#REF!</f>
        <v>4356.1095440425288</v>
      </c>
      <c r="AC8" s="50">
        <f>#REF!</f>
        <v>4574.2511135707864</v>
      </c>
      <c r="AD8" s="50">
        <f>#REF!</f>
        <v>4775.0494367307301</v>
      </c>
      <c r="AE8" s="50">
        <f>#REF!</f>
        <v>4700.7380942632253</v>
      </c>
      <c r="AF8" s="50">
        <f>#REF!</f>
        <v>4738.366957906951</v>
      </c>
      <c r="AG8" s="50">
        <f>#REF!</f>
        <v>4729.4253574625982</v>
      </c>
      <c r="AH8" s="50">
        <f>#REF!</f>
        <v>4472.6263059426165</v>
      </c>
      <c r="AI8" s="50">
        <f>#REF!</f>
        <v>4263.627277143647</v>
      </c>
      <c r="AJ8" s="50">
        <f>#REF!</f>
        <v>4271.1326582294278</v>
      </c>
      <c r="AK8" s="50">
        <f>#REF!</f>
        <v>4100.417091337993</v>
      </c>
      <c r="AL8" s="9">
        <f t="shared" si="2"/>
        <v>0.129988690219245</v>
      </c>
      <c r="AM8" s="9">
        <f t="shared" si="3"/>
        <v>1.0511578585788189E-2</v>
      </c>
      <c r="AN8" s="6"/>
      <c r="AO8" s="11">
        <f t="shared" si="4"/>
        <v>-3.9969624114228247E-2</v>
      </c>
      <c r="AP8" s="12">
        <f t="shared" si="5"/>
        <v>-170.71556689143472</v>
      </c>
    </row>
    <row r="9" spans="1:42" x14ac:dyDescent="0.25">
      <c r="A9" s="53" t="s">
        <v>16</v>
      </c>
      <c r="B9" s="50">
        <f>#REF!</f>
        <v>1004.0345660655863</v>
      </c>
      <c r="C9" s="50">
        <f>#REF!</f>
        <v>1022.4730075314403</v>
      </c>
      <c r="D9" s="50">
        <f>#REF!</f>
        <v>1016.8912812861598</v>
      </c>
      <c r="E9" s="50">
        <f>#REF!</f>
        <v>1004.7612405969569</v>
      </c>
      <c r="F9" s="50">
        <f>#REF!</f>
        <v>1095.784233573228</v>
      </c>
      <c r="G9" s="50">
        <f>#REF!</f>
        <v>1074.6657726814128</v>
      </c>
      <c r="H9" s="50">
        <f>#REF!</f>
        <v>970.86516701832898</v>
      </c>
      <c r="I9" s="50">
        <f>#REF!</f>
        <v>979.03152859913837</v>
      </c>
      <c r="J9" s="50">
        <f>#REF!</f>
        <v>965.99915436791196</v>
      </c>
      <c r="K9" s="50">
        <f>#REF!</f>
        <v>999.27852504875932</v>
      </c>
      <c r="L9" s="50">
        <f>#REF!</f>
        <v>1025.2416387849557</v>
      </c>
      <c r="M9" s="50">
        <f>#REF!</f>
        <v>1015.7350780717875</v>
      </c>
      <c r="N9" s="50">
        <f>#REF!</f>
        <v>982.24312974594613</v>
      </c>
      <c r="O9" s="50">
        <f>#REF!</f>
        <v>1079.7781315354346</v>
      </c>
      <c r="P9" s="50">
        <f>#REF!</f>
        <v>1047.9565049679213</v>
      </c>
      <c r="Q9" s="50">
        <f>#REF!</f>
        <v>1081.2656197799238</v>
      </c>
      <c r="R9" s="50">
        <f>#REF!</f>
        <v>1075.3649470496732</v>
      </c>
      <c r="S9" s="50">
        <f>#REF!</f>
        <v>1072.0222370165916</v>
      </c>
      <c r="T9" s="50">
        <f>#REF!</f>
        <v>1117.348026061281</v>
      </c>
      <c r="U9" s="50">
        <f>#REF!</f>
        <v>884.82840412300868</v>
      </c>
      <c r="V9" s="50">
        <f>#REF!</f>
        <v>975.44193869735773</v>
      </c>
      <c r="W9" s="50">
        <f>#REF!</f>
        <v>891.7232737497236</v>
      </c>
      <c r="X9" s="50">
        <f>#REF!</f>
        <v>923.61560878632145</v>
      </c>
      <c r="Y9" s="50">
        <f>#REF!</f>
        <v>922.5115961253814</v>
      </c>
      <c r="Z9" s="50">
        <f>#REF!</f>
        <v>854.86782007393106</v>
      </c>
      <c r="AA9" s="50">
        <f>#REF!</f>
        <v>919.00313595420266</v>
      </c>
      <c r="AB9" s="50">
        <f>#REF!</f>
        <v>849.62017173238746</v>
      </c>
      <c r="AC9" s="50">
        <f>#REF!</f>
        <v>779.56213950831443</v>
      </c>
      <c r="AD9" s="50">
        <f>#REF!</f>
        <v>847.22306329463026</v>
      </c>
      <c r="AE9" s="50">
        <f>#REF!</f>
        <v>799.80838158039728</v>
      </c>
      <c r="AF9" s="50">
        <f>#REF!</f>
        <v>657.76492480983893</v>
      </c>
      <c r="AG9" s="50">
        <f>#REF!</f>
        <v>712.74522560722403</v>
      </c>
      <c r="AH9" s="50">
        <f>#REF!</f>
        <v>684.64669808248311</v>
      </c>
      <c r="AI9" s="50">
        <f>#REF!</f>
        <v>682.39229632866682</v>
      </c>
      <c r="AJ9" s="50">
        <f>#REF!</f>
        <v>735.85327239182857</v>
      </c>
      <c r="AK9" s="50">
        <f>#REF!</f>
        <v>705.25620066016518</v>
      </c>
      <c r="AL9" s="9">
        <f t="shared" si="2"/>
        <v>2.2357562109102818E-2</v>
      </c>
      <c r="AM9" s="9">
        <f t="shared" si="3"/>
        <v>-0.29757776823980792</v>
      </c>
      <c r="AN9" s="10"/>
      <c r="AO9" s="11">
        <f t="shared" si="4"/>
        <v>-4.1580397722782707E-2</v>
      </c>
      <c r="AP9" s="12">
        <f t="shared" si="5"/>
        <v>-30.597071731663391</v>
      </c>
    </row>
    <row r="10" spans="1:42" x14ac:dyDescent="0.25">
      <c r="A10" s="53" t="s">
        <v>17</v>
      </c>
      <c r="B10" s="50">
        <f>#REF!</f>
        <v>1116.7561679407922</v>
      </c>
      <c r="C10" s="50">
        <f>#REF!</f>
        <v>1089.7846383182937</v>
      </c>
      <c r="D10" s="50">
        <f>#REF!</f>
        <v>995.30560132089761</v>
      </c>
      <c r="E10" s="50">
        <f>#REF!</f>
        <v>967.74651417404016</v>
      </c>
      <c r="F10" s="50">
        <f>#REF!</f>
        <v>973.06263171013575</v>
      </c>
      <c r="G10" s="50">
        <f>#REF!</f>
        <v>903.24915789594706</v>
      </c>
      <c r="H10" s="50">
        <f>#REF!</f>
        <v>864.23795434102385</v>
      </c>
      <c r="I10" s="50">
        <f>#REF!</f>
        <v>817.08383293579175</v>
      </c>
      <c r="J10" s="50">
        <f>#REF!</f>
        <v>766.96086275179744</v>
      </c>
      <c r="K10" s="50">
        <f>#REF!</f>
        <v>792.84435841791571</v>
      </c>
      <c r="L10" s="50">
        <f>#REF!</f>
        <v>838.70398973153033</v>
      </c>
      <c r="M10" s="50">
        <f>#REF!</f>
        <v>805.68104619622852</v>
      </c>
      <c r="N10" s="50">
        <f>#REF!</f>
        <v>747.91325985954791</v>
      </c>
      <c r="O10" s="50">
        <f>#REF!</f>
        <v>706.46798872334284</v>
      </c>
      <c r="P10" s="50">
        <f>#REF!</f>
        <v>657.12294052730761</v>
      </c>
      <c r="Q10" s="50">
        <f>#REF!</f>
        <v>649.55184827781568</v>
      </c>
      <c r="R10" s="50">
        <f>#REF!</f>
        <v>625.69266731982589</v>
      </c>
      <c r="S10" s="50">
        <f>#REF!</f>
        <v>589.26272910176306</v>
      </c>
      <c r="T10" s="50">
        <f>#REF!</f>
        <v>588.52634211414806</v>
      </c>
      <c r="U10" s="50">
        <f>#REF!</f>
        <v>490.01263071240089</v>
      </c>
      <c r="V10" s="50">
        <f>#REF!</f>
        <v>516.20902382302165</v>
      </c>
      <c r="W10" s="50">
        <f>#REF!</f>
        <v>466.31812967025064</v>
      </c>
      <c r="X10" s="50">
        <f>#REF!</f>
        <v>500.31804051265237</v>
      </c>
      <c r="Y10" s="50">
        <f>#REF!</f>
        <v>567.88905926315113</v>
      </c>
      <c r="Z10" s="50">
        <f>#REF!</f>
        <v>573.25936200103206</v>
      </c>
      <c r="AA10" s="50">
        <f>#REF!</f>
        <v>599.28112131281569</v>
      </c>
      <c r="AB10" s="50">
        <f>#REF!</f>
        <v>619.37365622922266</v>
      </c>
      <c r="AC10" s="50">
        <f>#REF!</f>
        <v>625.3117785381196</v>
      </c>
      <c r="AD10" s="50">
        <f>#REF!</f>
        <v>671.1605385118055</v>
      </c>
      <c r="AE10" s="50">
        <f>#REF!</f>
        <v>698.19060151295184</v>
      </c>
      <c r="AF10" s="50">
        <f>#REF!</f>
        <v>656.8326362913599</v>
      </c>
      <c r="AG10" s="50">
        <f>#REF!</f>
        <v>690.5428278421374</v>
      </c>
      <c r="AH10" s="50">
        <f>#REF!</f>
        <v>682.26238023342148</v>
      </c>
      <c r="AI10" s="50">
        <f>#REF!</f>
        <v>641.93174355405995</v>
      </c>
      <c r="AJ10" s="50">
        <f>#REF!</f>
        <v>692.35211421065719</v>
      </c>
      <c r="AK10" s="50">
        <f>#REF!</f>
        <v>671.45474301177205</v>
      </c>
      <c r="AL10" s="9">
        <f t="shared" si="2"/>
        <v>2.1286010823137864E-2</v>
      </c>
      <c r="AM10" s="9">
        <f t="shared" si="3"/>
        <v>-0.39874543585473982</v>
      </c>
      <c r="AN10" s="6"/>
      <c r="AO10" s="11">
        <f t="shared" si="4"/>
        <v>-3.0183155030457293E-2</v>
      </c>
      <c r="AP10" s="12">
        <f t="shared" si="5"/>
        <v>-20.897371198885139</v>
      </c>
    </row>
    <row r="11" spans="1:42" x14ac:dyDescent="0.25">
      <c r="A11" s="53" t="s">
        <v>18</v>
      </c>
      <c r="B11" s="50">
        <f t="shared" ref="B11:AA11" si="6">SUM(B12:B16)</f>
        <v>5029.64547279402</v>
      </c>
      <c r="C11" s="50">
        <f t="shared" si="6"/>
        <v>5207.4819043399657</v>
      </c>
      <c r="D11" s="50">
        <f t="shared" si="6"/>
        <v>5621.8425752901958</v>
      </c>
      <c r="E11" s="50">
        <f t="shared" si="6"/>
        <v>5583.6226838487719</v>
      </c>
      <c r="F11" s="50">
        <f t="shared" si="6"/>
        <v>5805.7536417812353</v>
      </c>
      <c r="G11" s="50">
        <f t="shared" si="6"/>
        <v>6058.8843520471009</v>
      </c>
      <c r="H11" s="50">
        <f t="shared" si="6"/>
        <v>7027.3116505872458</v>
      </c>
      <c r="I11" s="50">
        <f t="shared" si="6"/>
        <v>7347.9365869190924</v>
      </c>
      <c r="J11" s="50">
        <f t="shared" si="6"/>
        <v>8620.6555514369302</v>
      </c>
      <c r="K11" s="50">
        <f t="shared" si="6"/>
        <v>9533.5227463094689</v>
      </c>
      <c r="L11" s="50">
        <f t="shared" si="6"/>
        <v>10561.828947009131</v>
      </c>
      <c r="M11" s="50">
        <f t="shared" si="6"/>
        <v>11079.048090475506</v>
      </c>
      <c r="N11" s="50">
        <f t="shared" si="6"/>
        <v>11279.143808479441</v>
      </c>
      <c r="O11" s="50">
        <f t="shared" si="6"/>
        <v>11489.078932730052</v>
      </c>
      <c r="P11" s="50">
        <f t="shared" si="6"/>
        <v>12209.430731448574</v>
      </c>
      <c r="Q11" s="50">
        <f t="shared" si="6"/>
        <v>12922.310792723818</v>
      </c>
      <c r="R11" s="50">
        <f t="shared" si="6"/>
        <v>13606.344685880453</v>
      </c>
      <c r="S11" s="50">
        <f t="shared" si="6"/>
        <v>14203.92560336126</v>
      </c>
      <c r="T11" s="50">
        <f t="shared" si="6"/>
        <v>13518.368910586394</v>
      </c>
      <c r="U11" s="50">
        <f t="shared" si="6"/>
        <v>12312.948433955722</v>
      </c>
      <c r="V11" s="50">
        <f t="shared" si="6"/>
        <v>11408.210339583231</v>
      </c>
      <c r="W11" s="50">
        <f t="shared" si="6"/>
        <v>11101.393867877094</v>
      </c>
      <c r="X11" s="50">
        <f t="shared" si="6"/>
        <v>10717.238785245485</v>
      </c>
      <c r="Y11" s="50">
        <f t="shared" si="6"/>
        <v>10938.373505867019</v>
      </c>
      <c r="Z11" s="50">
        <f t="shared" si="6"/>
        <v>11217.183947780464</v>
      </c>
      <c r="AA11" s="50">
        <f t="shared" si="6"/>
        <v>11689.830309834306</v>
      </c>
      <c r="AB11" s="50">
        <f>SUM(AB12:AB16)</f>
        <v>12165.346576193431</v>
      </c>
      <c r="AC11" s="50">
        <f>SUM(AC12:AC16)</f>
        <v>12003.403480656563</v>
      </c>
      <c r="AD11" s="50">
        <f t="shared" ref="AD11:AK11" si="7">SUM(AD12:AD16)</f>
        <v>12175.917492612036</v>
      </c>
      <c r="AE11" s="50">
        <f t="shared" si="7"/>
        <v>12187.864282825962</v>
      </c>
      <c r="AF11" s="50">
        <f t="shared" si="7"/>
        <v>10284.381690984163</v>
      </c>
      <c r="AG11" s="50">
        <f t="shared" si="7"/>
        <v>10961.838152814733</v>
      </c>
      <c r="AH11" s="50">
        <f t="shared" si="7"/>
        <v>11624.068329397804</v>
      </c>
      <c r="AI11" s="50">
        <f t="shared" si="7"/>
        <v>11669.54984913248</v>
      </c>
      <c r="AJ11" s="50">
        <f t="shared" si="7"/>
        <v>11523.441710686775</v>
      </c>
      <c r="AK11" s="50">
        <f t="shared" si="7"/>
        <v>11354.984559142207</v>
      </c>
      <c r="AL11" s="9">
        <f t="shared" si="2"/>
        <v>0.35996815383017822</v>
      </c>
      <c r="AM11" s="9">
        <f t="shared" si="3"/>
        <v>1.2576113208302127</v>
      </c>
      <c r="AN11" s="6"/>
      <c r="AO11" s="11">
        <f t="shared" si="4"/>
        <v>-1.4618649165235203E-2</v>
      </c>
      <c r="AP11" s="12">
        <f t="shared" si="5"/>
        <v>-168.45715154456775</v>
      </c>
    </row>
    <row r="12" spans="1:42" outlineLevel="1" x14ac:dyDescent="0.25">
      <c r="A12" s="51" t="s">
        <v>19</v>
      </c>
      <c r="B12" s="52">
        <f>#REF!</f>
        <v>47.973606851022652</v>
      </c>
      <c r="C12" s="52">
        <f>#REF!</f>
        <v>43.503728892353507</v>
      </c>
      <c r="D12" s="52">
        <f>#REF!</f>
        <v>43.122028994345719</v>
      </c>
      <c r="E12" s="52">
        <f>#REF!</f>
        <v>37.092346509595586</v>
      </c>
      <c r="F12" s="52">
        <f>#REF!</f>
        <v>38.551299595889446</v>
      </c>
      <c r="G12" s="52">
        <f>#REF!</f>
        <v>45.331258896247164</v>
      </c>
      <c r="H12" s="52">
        <f>#REF!</f>
        <v>48.50519912148367</v>
      </c>
      <c r="I12" s="52">
        <f>#REF!</f>
        <v>50.958147882569577</v>
      </c>
      <c r="J12" s="52">
        <f>#REF!</f>
        <v>56.334307314528353</v>
      </c>
      <c r="K12" s="52">
        <f>#REF!</f>
        <v>63.798061678269157</v>
      </c>
      <c r="L12" s="52">
        <f>#REF!</f>
        <v>69.029793966414346</v>
      </c>
      <c r="M12" s="52">
        <f>#REF!</f>
        <v>68.582588449586098</v>
      </c>
      <c r="N12" s="52">
        <f>#REF!</f>
        <v>67.971487831871144</v>
      </c>
      <c r="O12" s="52">
        <f>#REF!</f>
        <v>70.548060973486727</v>
      </c>
      <c r="P12" s="52">
        <f>#REF!</f>
        <v>67.331121724630123</v>
      </c>
      <c r="Q12" s="52">
        <f>#REF!</f>
        <v>79.502263230162939</v>
      </c>
      <c r="R12" s="52">
        <f>#REF!</f>
        <v>91.22630000091921</v>
      </c>
      <c r="S12" s="52">
        <f>#REF!</f>
        <v>84.269682114942754</v>
      </c>
      <c r="T12" s="52">
        <f>#REF!</f>
        <v>79.817904463939257</v>
      </c>
      <c r="U12" s="52">
        <f>#REF!</f>
        <v>65.040238091055727</v>
      </c>
      <c r="V12" s="52">
        <f>#REF!</f>
        <v>49.074462083035584</v>
      </c>
      <c r="W12" s="52">
        <f>#REF!</f>
        <v>24.435948596410057</v>
      </c>
      <c r="X12" s="52">
        <f>#REF!</f>
        <v>14.859257661433341</v>
      </c>
      <c r="Y12" s="52">
        <f>#REF!</f>
        <v>15.236964785112086</v>
      </c>
      <c r="Z12" s="52">
        <f>#REF!</f>
        <v>14.56288630789064</v>
      </c>
      <c r="AA12" s="52">
        <f>#REF!</f>
        <v>15.503471706276226</v>
      </c>
      <c r="AB12" s="52">
        <f>#REF!</f>
        <v>16.698806545952053</v>
      </c>
      <c r="AC12" s="52">
        <f>#REF!</f>
        <v>17.402512272081452</v>
      </c>
      <c r="AD12" s="52">
        <f>#REF!</f>
        <v>16.546122490139844</v>
      </c>
      <c r="AE12" s="52">
        <f>#REF!</f>
        <v>17.761949953670818</v>
      </c>
      <c r="AF12" s="52">
        <f>#REF!</f>
        <v>13.486984802131513</v>
      </c>
      <c r="AG12" s="52">
        <f>#REF!</f>
        <v>19.535406144228347</v>
      </c>
      <c r="AH12" s="52">
        <f>#REF!</f>
        <v>21.501519178672208</v>
      </c>
      <c r="AI12" s="52">
        <f>#REF!</f>
        <v>23.031071717257952</v>
      </c>
      <c r="AJ12" s="52">
        <f>#REF!</f>
        <v>25.825924023154037</v>
      </c>
      <c r="AK12" s="52">
        <f>#REF!</f>
        <v>27.726259465610585</v>
      </c>
      <c r="AL12" s="15">
        <f t="shared" si="2"/>
        <v>8.7895940152703396E-4</v>
      </c>
      <c r="AM12" s="15">
        <f t="shared" si="3"/>
        <v>-0.42205180544978044</v>
      </c>
      <c r="AN12" s="6"/>
      <c r="AO12" s="16">
        <f t="shared" si="4"/>
        <v>7.3582476303764258E-2</v>
      </c>
      <c r="AP12" s="17">
        <f t="shared" si="5"/>
        <v>1.900335442456548</v>
      </c>
    </row>
    <row r="13" spans="1:42" outlineLevel="1" x14ac:dyDescent="0.25">
      <c r="A13" s="51" t="s">
        <v>20</v>
      </c>
      <c r="B13" s="52">
        <f>#REF!</f>
        <v>4690.4209041404747</v>
      </c>
      <c r="C13" s="52">
        <f>#REF!</f>
        <v>4878.7767277604516</v>
      </c>
      <c r="D13" s="52">
        <f>#REF!</f>
        <v>5297.3445762198644</v>
      </c>
      <c r="E13" s="52">
        <f>#REF!</f>
        <v>5276.1856577588123</v>
      </c>
      <c r="F13" s="52">
        <f>#REF!</f>
        <v>5499.028748483347</v>
      </c>
      <c r="G13" s="52">
        <f>#REF!</f>
        <v>5686.1076510332859</v>
      </c>
      <c r="H13" s="52">
        <f>#REF!</f>
        <v>6609.5277729546924</v>
      </c>
      <c r="I13" s="52">
        <f>#REF!</f>
        <v>6958.559768828055</v>
      </c>
      <c r="J13" s="52">
        <f>#REF!</f>
        <v>8248.0560003889295</v>
      </c>
      <c r="K13" s="52">
        <f>#REF!</f>
        <v>9118.4885818728453</v>
      </c>
      <c r="L13" s="52">
        <f>#REF!</f>
        <v>10156.921147913026</v>
      </c>
      <c r="M13" s="52">
        <f>#REF!</f>
        <v>10618.486907249049</v>
      </c>
      <c r="N13" s="52">
        <f>#REF!</f>
        <v>10826.157347807921</v>
      </c>
      <c r="O13" s="52">
        <f>#REF!</f>
        <v>11006.037072479159</v>
      </c>
      <c r="P13" s="52">
        <f>#REF!</f>
        <v>11660.324826188693</v>
      </c>
      <c r="Q13" s="52">
        <f>#REF!</f>
        <v>12359.079936766293</v>
      </c>
      <c r="R13" s="52">
        <f>#REF!</f>
        <v>12994.19867231478</v>
      </c>
      <c r="S13" s="52">
        <f>#REF!</f>
        <v>13662.940875425713</v>
      </c>
      <c r="T13" s="52">
        <f>#REF!</f>
        <v>12952.576673888194</v>
      </c>
      <c r="U13" s="52">
        <f>#REF!</f>
        <v>11779.521401344953</v>
      </c>
      <c r="V13" s="52">
        <f>#REF!</f>
        <v>10878.003441159486</v>
      </c>
      <c r="W13" s="52">
        <f>#REF!</f>
        <v>10632.714214579784</v>
      </c>
      <c r="X13" s="52">
        <f>#REF!</f>
        <v>10264.097621549372</v>
      </c>
      <c r="Y13" s="52">
        <f>#REF!</f>
        <v>10482.910813336257</v>
      </c>
      <c r="Z13" s="52">
        <f>#REF!</f>
        <v>10726.729093366203</v>
      </c>
      <c r="AA13" s="52">
        <f>#REF!</f>
        <v>11207.911658062552</v>
      </c>
      <c r="AB13" s="52">
        <f>#REF!</f>
        <v>11637.696523892078</v>
      </c>
      <c r="AC13" s="52">
        <f>#REF!</f>
        <v>11510.71985204832</v>
      </c>
      <c r="AD13" s="52">
        <f>#REF!</f>
        <v>11645.136799396018</v>
      </c>
      <c r="AE13" s="52">
        <f>#REF!</f>
        <v>11631.703689065151</v>
      </c>
      <c r="AF13" s="52">
        <f>#REF!</f>
        <v>9690.5667473698886</v>
      </c>
      <c r="AG13" s="52">
        <f>#REF!</f>
        <v>10326.58113120376</v>
      </c>
      <c r="AH13" s="52">
        <f>#REF!</f>
        <v>11029.445502413766</v>
      </c>
      <c r="AI13" s="52">
        <f>#REF!</f>
        <v>11053.231491027012</v>
      </c>
      <c r="AJ13" s="52">
        <f>#REF!</f>
        <v>10912.92836525335</v>
      </c>
      <c r="AK13" s="52">
        <f>#REF!</f>
        <v>10729.525947283466</v>
      </c>
      <c r="AL13" s="15">
        <f t="shared" si="2"/>
        <v>0.34014028170623889</v>
      </c>
      <c r="AM13" s="15">
        <f t="shared" si="3"/>
        <v>1.2875401092068228</v>
      </c>
      <c r="AN13" s="6"/>
      <c r="AO13" s="16">
        <f t="shared" si="4"/>
        <v>-1.6805976529071322E-2</v>
      </c>
      <c r="AP13" s="17">
        <f t="shared" si="5"/>
        <v>-183.40241796988448</v>
      </c>
    </row>
    <row r="14" spans="1:42" outlineLevel="1" x14ac:dyDescent="0.25">
      <c r="A14" s="51" t="s">
        <v>21</v>
      </c>
      <c r="B14" s="52">
        <f>#REF!</f>
        <v>133.19131896000002</v>
      </c>
      <c r="C14" s="52">
        <f>#REF!</f>
        <v>129.35516346</v>
      </c>
      <c r="D14" s="52">
        <f>#REF!</f>
        <v>116.00534232</v>
      </c>
      <c r="E14" s="52">
        <f>#REF!</f>
        <v>127.3603626</v>
      </c>
      <c r="F14" s="52">
        <f>#REF!</f>
        <v>119.99494404000001</v>
      </c>
      <c r="G14" s="52">
        <f>#REF!</f>
        <v>111.40195571999999</v>
      </c>
      <c r="H14" s="52">
        <f>#REF!</f>
        <v>129.81550211999999</v>
      </c>
      <c r="I14" s="52">
        <f>#REF!</f>
        <v>125.21211552000001</v>
      </c>
      <c r="J14" s="52">
        <f>#REF!</f>
        <v>128.89482480000001</v>
      </c>
      <c r="K14" s="52">
        <f>#REF!</f>
        <v>123.98454575999999</v>
      </c>
      <c r="L14" s="52">
        <f>#REF!</f>
        <v>123.15593617200001</v>
      </c>
      <c r="M14" s="52">
        <f>#REF!</f>
        <v>134.41888871999998</v>
      </c>
      <c r="N14" s="52">
        <f>#REF!</f>
        <v>117.53980451999999</v>
      </c>
      <c r="O14" s="52">
        <f>#REF!</f>
        <v>129.81550211999999</v>
      </c>
      <c r="P14" s="52">
        <f>#REF!</f>
        <v>136.87402824</v>
      </c>
      <c r="Q14" s="52">
        <f>#REF!</f>
        <v>122.19927298720815</v>
      </c>
      <c r="R14" s="52">
        <f>#REF!</f>
        <v>122.19927298720815</v>
      </c>
      <c r="S14" s="52">
        <f>#REF!</f>
        <v>132.15247091447389</v>
      </c>
      <c r="T14" s="52">
        <f>#REF!</f>
        <v>140.05431636034922</v>
      </c>
      <c r="U14" s="52">
        <f>#REF!</f>
        <v>122.89373279844358</v>
      </c>
      <c r="V14" s="52">
        <f>#REF!</f>
        <v>121.95466764246405</v>
      </c>
      <c r="W14" s="52">
        <f>#REF!</f>
        <v>122.0154611093506</v>
      </c>
      <c r="X14" s="52">
        <f>#REF!</f>
        <v>118.03822578507774</v>
      </c>
      <c r="Y14" s="52">
        <f>#REF!</f>
        <v>117.55016657227962</v>
      </c>
      <c r="Z14" s="52">
        <f>#REF!</f>
        <v>107.83625895194317</v>
      </c>
      <c r="AA14" s="52">
        <f>#REF!</f>
        <v>109.89925966332116</v>
      </c>
      <c r="AB14" s="52">
        <f>#REF!</f>
        <v>111.92605019640757</v>
      </c>
      <c r="AC14" s="52">
        <f>#REF!</f>
        <v>115.5400776954617</v>
      </c>
      <c r="AD14" s="52">
        <f>#REF!</f>
        <v>116.75177158734235</v>
      </c>
      <c r="AE14" s="52">
        <f>#REF!</f>
        <v>122.17427396250424</v>
      </c>
      <c r="AF14" s="52">
        <f>#REF!</f>
        <v>97.337475457254371</v>
      </c>
      <c r="AG14" s="52">
        <f>#REF!</f>
        <v>105.26705637062834</v>
      </c>
      <c r="AH14" s="52">
        <f>#REF!</f>
        <v>117.69319060464687</v>
      </c>
      <c r="AI14" s="52">
        <f>#REF!</f>
        <v>123.39916495360218</v>
      </c>
      <c r="AJ14" s="52">
        <f>#REF!</f>
        <v>131.80021076062837</v>
      </c>
      <c r="AK14" s="52">
        <f>#REF!</f>
        <v>140.0611923564415</v>
      </c>
      <c r="AL14" s="15">
        <f t="shared" si="2"/>
        <v>4.4401265869806186E-3</v>
      </c>
      <c r="AM14" s="15">
        <f t="shared" si="3"/>
        <v>5.1578987655378918E-2</v>
      </c>
      <c r="AN14" s="6"/>
      <c r="AO14" s="16">
        <f t="shared" si="4"/>
        <v>6.2678060589876225E-2</v>
      </c>
      <c r="AP14" s="17">
        <f t="shared" si="5"/>
        <v>8.2609815958131207</v>
      </c>
    </row>
    <row r="15" spans="1:42" outlineLevel="1" x14ac:dyDescent="0.25">
      <c r="A15" s="51" t="s">
        <v>22</v>
      </c>
      <c r="B15" s="52">
        <f>#REF!</f>
        <v>84.908120618160012</v>
      </c>
      <c r="C15" s="52">
        <f>#REF!</f>
        <v>81.773787977028007</v>
      </c>
      <c r="D15" s="52">
        <f>#REF!</f>
        <v>91.216948658652001</v>
      </c>
      <c r="E15" s="52">
        <f>#REF!</f>
        <v>91.216948658652001</v>
      </c>
      <c r="F15" s="52">
        <f>#REF!</f>
        <v>103.75427922318001</v>
      </c>
      <c r="G15" s="52">
        <f>#REF!</f>
        <v>91.176785900423994</v>
      </c>
      <c r="H15" s="52">
        <f>#REF!</f>
        <v>103.91493025609202</v>
      </c>
      <c r="I15" s="52">
        <f>#REF!</f>
        <v>107.049262897224</v>
      </c>
      <c r="J15" s="52">
        <f>#REF!</f>
        <v>116.572749095304</v>
      </c>
      <c r="K15" s="52">
        <f>#REF!</f>
        <v>129.23056793451599</v>
      </c>
      <c r="L15" s="52">
        <f>#REF!</f>
        <v>151.10331825446809</v>
      </c>
      <c r="M15" s="52">
        <f>#REF!</f>
        <v>151.03574008649622</v>
      </c>
      <c r="N15" s="52">
        <f>#REF!</f>
        <v>160.3711598419203</v>
      </c>
      <c r="O15" s="52">
        <f>#REF!</f>
        <v>172.84091223847636</v>
      </c>
      <c r="P15" s="52">
        <f>#REF!</f>
        <v>224.7792785808218</v>
      </c>
      <c r="Q15" s="52">
        <f>#REF!</f>
        <v>209.02097136261301</v>
      </c>
      <c r="R15" s="52">
        <f>#REF!</f>
        <v>247.52580177789318</v>
      </c>
      <c r="S15" s="52">
        <f>#REF!</f>
        <v>195.47253456948229</v>
      </c>
      <c r="T15" s="52">
        <f>#REF!</f>
        <v>202.60376845804828</v>
      </c>
      <c r="U15" s="52">
        <f>#REF!</f>
        <v>197.4446775420063</v>
      </c>
      <c r="V15" s="52">
        <f>#REF!</f>
        <v>198.03493208537725</v>
      </c>
      <c r="W15" s="52">
        <f>#REF!</f>
        <v>171.9209770760464</v>
      </c>
      <c r="X15" s="52">
        <f>#REF!</f>
        <v>181.686146890125</v>
      </c>
      <c r="Y15" s="52">
        <f>#REF!</f>
        <v>177.71607566169186</v>
      </c>
      <c r="Z15" s="52">
        <f>#REF!</f>
        <v>222.47239461731564</v>
      </c>
      <c r="AA15" s="52">
        <f>#REF!</f>
        <v>219.42663423935466</v>
      </c>
      <c r="AB15" s="52">
        <f>#REF!</f>
        <v>263.68516731944459</v>
      </c>
      <c r="AC15" s="52">
        <f>#REF!</f>
        <v>232.83355717201317</v>
      </c>
      <c r="AD15" s="52">
        <f>#REF!</f>
        <v>257.52487597974152</v>
      </c>
      <c r="AE15" s="52">
        <f>#REF!</f>
        <v>274.27479800991847</v>
      </c>
      <c r="AF15" s="52">
        <f>#REF!</f>
        <v>335.41938430738986</v>
      </c>
      <c r="AG15" s="52">
        <f>#REF!</f>
        <v>358.67998278629796</v>
      </c>
      <c r="AH15" s="52">
        <f>#REF!</f>
        <v>302.59480670092046</v>
      </c>
      <c r="AI15" s="52">
        <f>#REF!</f>
        <v>320.76142685222152</v>
      </c>
      <c r="AJ15" s="52">
        <f>#REF!</f>
        <v>297.45362687367287</v>
      </c>
      <c r="AK15" s="52">
        <f>#REF!</f>
        <v>297.45362687367287</v>
      </c>
      <c r="AL15" s="15">
        <f t="shared" si="2"/>
        <v>9.4296766638576057E-3</v>
      </c>
      <c r="AM15" s="15">
        <f t="shared" si="3"/>
        <v>2.5032412060013725</v>
      </c>
      <c r="AN15" s="6"/>
      <c r="AO15" s="16">
        <f t="shared" si="4"/>
        <v>0</v>
      </c>
      <c r="AP15" s="17">
        <f t="shared" si="5"/>
        <v>0</v>
      </c>
    </row>
    <row r="16" spans="1:42" outlineLevel="1" x14ac:dyDescent="0.25">
      <c r="A16" s="51" t="s">
        <v>23</v>
      </c>
      <c r="B16" s="52">
        <f>#REF!</f>
        <v>73.151522224362566</v>
      </c>
      <c r="C16" s="52">
        <f>#REF!</f>
        <v>74.072496250132374</v>
      </c>
      <c r="D16" s="52">
        <f>#REF!</f>
        <v>74.153679097333949</v>
      </c>
      <c r="E16" s="52">
        <f>#REF!</f>
        <v>51.767368321711558</v>
      </c>
      <c r="F16" s="52">
        <f>#REF!</f>
        <v>44.424370438818663</v>
      </c>
      <c r="G16" s="52">
        <f>#REF!</f>
        <v>124.86670049714412</v>
      </c>
      <c r="H16" s="52">
        <f>#REF!</f>
        <v>135.54824613497789</v>
      </c>
      <c r="I16" s="52">
        <f>#REF!</f>
        <v>106.15729179124362</v>
      </c>
      <c r="J16" s="52">
        <f>#REF!</f>
        <v>70.797669838170151</v>
      </c>
      <c r="K16" s="52">
        <f>#REF!</f>
        <v>98.020989063837206</v>
      </c>
      <c r="L16" s="52">
        <f>#REF!</f>
        <v>61.618750703223199</v>
      </c>
      <c r="M16" s="52">
        <f>#REF!</f>
        <v>106.52396597037439</v>
      </c>
      <c r="N16" s="52">
        <f>#REF!</f>
        <v>107.10400847772955</v>
      </c>
      <c r="O16" s="52">
        <f>#REF!</f>
        <v>109.83738491892994</v>
      </c>
      <c r="P16" s="52">
        <f>#REF!</f>
        <v>120.1214767144306</v>
      </c>
      <c r="Q16" s="52">
        <f>#REF!</f>
        <v>152.50834837753979</v>
      </c>
      <c r="R16" s="52">
        <f>#REF!</f>
        <v>151.19463879965312</v>
      </c>
      <c r="S16" s="52">
        <f>#REF!</f>
        <v>129.09004033664908</v>
      </c>
      <c r="T16" s="52">
        <f>#REF!</f>
        <v>143.31624741586299</v>
      </c>
      <c r="U16" s="52">
        <f>#REF!</f>
        <v>148.04838417926211</v>
      </c>
      <c r="V16" s="52">
        <f>#REF!</f>
        <v>161.14283661286868</v>
      </c>
      <c r="W16" s="52">
        <f>#REF!</f>
        <v>150.30726651550142</v>
      </c>
      <c r="X16" s="52">
        <f>#REF!</f>
        <v>138.55753335947722</v>
      </c>
      <c r="Y16" s="52">
        <f>#REF!</f>
        <v>144.95948551167834</v>
      </c>
      <c r="Z16" s="52">
        <f>#REF!</f>
        <v>145.58331453711102</v>
      </c>
      <c r="AA16" s="52">
        <f>#REF!</f>
        <v>137.08928616280093</v>
      </c>
      <c r="AB16" s="52">
        <f>#REF!</f>
        <v>135.34002823954938</v>
      </c>
      <c r="AC16" s="52">
        <f>#REF!</f>
        <v>126.90748146868756</v>
      </c>
      <c r="AD16" s="52">
        <f>#REF!</f>
        <v>139.95792315879621</v>
      </c>
      <c r="AE16" s="52">
        <f>#REF!</f>
        <v>141.94957183471618</v>
      </c>
      <c r="AF16" s="52">
        <f>#REF!</f>
        <v>147.57109904749839</v>
      </c>
      <c r="AG16" s="52">
        <f>#REF!</f>
        <v>151.77457630981758</v>
      </c>
      <c r="AH16" s="52">
        <f>#REF!</f>
        <v>152.83331049979805</v>
      </c>
      <c r="AI16" s="52">
        <f>#REF!</f>
        <v>149.12669458238562</v>
      </c>
      <c r="AJ16" s="52">
        <f>#REF!</f>
        <v>155.43358377596965</v>
      </c>
      <c r="AK16" s="52">
        <f>#REF!</f>
        <v>160.21753316301431</v>
      </c>
      <c r="AL16" s="15">
        <f t="shared" si="2"/>
        <v>5.0791094715739917E-3</v>
      </c>
      <c r="AM16" s="15">
        <f t="shared" si="3"/>
        <v>1.1902146160624265</v>
      </c>
      <c r="AN16" s="6"/>
      <c r="AO16" s="16">
        <f t="shared" si="4"/>
        <v>3.0778093580727601E-2</v>
      </c>
      <c r="AP16" s="17">
        <f t="shared" si="5"/>
        <v>4.7839493870446574</v>
      </c>
    </row>
    <row r="17" spans="1:48" x14ac:dyDescent="0.25">
      <c r="A17" s="53" t="s">
        <v>24</v>
      </c>
      <c r="B17" s="50">
        <f t="shared" ref="B17:AA17" si="8">SUM(B18:B22)</f>
        <v>2248.5886289767441</v>
      </c>
      <c r="C17" s="50">
        <f t="shared" si="8"/>
        <v>2150.012596284198</v>
      </c>
      <c r="D17" s="50">
        <f t="shared" si="8"/>
        <v>2061.2945373635557</v>
      </c>
      <c r="E17" s="50">
        <f t="shared" si="8"/>
        <v>2026.3669793739109</v>
      </c>
      <c r="F17" s="50">
        <f t="shared" si="8"/>
        <v>2264.4382076653119</v>
      </c>
      <c r="G17" s="50">
        <f t="shared" si="8"/>
        <v>2177.8665288522147</v>
      </c>
      <c r="H17" s="50">
        <f t="shared" si="8"/>
        <v>2259.5965426297207</v>
      </c>
      <c r="I17" s="50">
        <f t="shared" si="8"/>
        <v>2588.3531903963726</v>
      </c>
      <c r="J17" s="50">
        <f t="shared" si="8"/>
        <v>2477.5449718304626</v>
      </c>
      <c r="K17" s="50">
        <f t="shared" si="8"/>
        <v>2427.3825065406445</v>
      </c>
      <c r="L17" s="50">
        <f t="shared" si="8"/>
        <v>2974.640672613853</v>
      </c>
      <c r="M17" s="50">
        <f t="shared" si="8"/>
        <v>3225.7895330443321</v>
      </c>
      <c r="N17" s="50">
        <f t="shared" si="8"/>
        <v>2986.6754465253357</v>
      </c>
      <c r="O17" s="50">
        <f t="shared" si="8"/>
        <v>2459.7814318361775</v>
      </c>
      <c r="P17" s="50">
        <f t="shared" si="8"/>
        <v>2631.0263476769992</v>
      </c>
      <c r="Q17" s="50">
        <f t="shared" si="8"/>
        <v>2723.7431860085135</v>
      </c>
      <c r="R17" s="50">
        <f t="shared" si="8"/>
        <v>2665.7334376174649</v>
      </c>
      <c r="S17" s="50">
        <f t="shared" si="8"/>
        <v>2722.2120137714001</v>
      </c>
      <c r="T17" s="50">
        <f t="shared" si="8"/>
        <v>2431.2631326889828</v>
      </c>
      <c r="U17" s="50">
        <f t="shared" si="8"/>
        <v>1615.6142872225792</v>
      </c>
      <c r="V17" s="50">
        <f t="shared" si="8"/>
        <v>1421.5704495382395</v>
      </c>
      <c r="W17" s="50">
        <f t="shared" si="8"/>
        <v>1290.5169942072635</v>
      </c>
      <c r="X17" s="50">
        <f t="shared" si="8"/>
        <v>1516.7777164794836</v>
      </c>
      <c r="Y17" s="50">
        <f t="shared" si="8"/>
        <v>1432.6659327467521</v>
      </c>
      <c r="Z17" s="50">
        <f t="shared" si="8"/>
        <v>1777.6442430041789</v>
      </c>
      <c r="AA17" s="50">
        <f t="shared" si="8"/>
        <v>1964.2772092972532</v>
      </c>
      <c r="AB17" s="50">
        <f>SUM(AB18:AB22)</f>
        <v>2105.7713700924428</v>
      </c>
      <c r="AC17" s="50">
        <f>SUM(AC18:AC22)</f>
        <v>2192.841298851672</v>
      </c>
      <c r="AD17" s="50">
        <f t="shared" ref="AD17:AK17" si="9">SUM(AD18:AD22)</f>
        <v>2249.0022627793596</v>
      </c>
      <c r="AE17" s="50">
        <f t="shared" si="9"/>
        <v>2220.1403621079921</v>
      </c>
      <c r="AF17" s="50">
        <f t="shared" si="9"/>
        <v>2062.6375548821225</v>
      </c>
      <c r="AG17" s="50">
        <f t="shared" si="9"/>
        <v>2426.7993505430045</v>
      </c>
      <c r="AH17" s="50">
        <f t="shared" si="9"/>
        <v>2247.3241762829871</v>
      </c>
      <c r="AI17" s="50">
        <f t="shared" si="9"/>
        <v>2105.037596319688</v>
      </c>
      <c r="AJ17" s="50">
        <f t="shared" si="9"/>
        <v>1824.0102297388048</v>
      </c>
      <c r="AK17" s="50">
        <f t="shared" si="9"/>
        <v>1790.1475895782401</v>
      </c>
      <c r="AL17" s="9">
        <f t="shared" si="2"/>
        <v>5.6750065977430306E-2</v>
      </c>
      <c r="AM17" s="9">
        <f t="shared" si="3"/>
        <v>-0.2038794617613649</v>
      </c>
      <c r="AN17" s="6"/>
      <c r="AO17" s="11">
        <f t="shared" si="4"/>
        <v>-1.8564939827894401E-2</v>
      </c>
      <c r="AP17" s="12">
        <f t="shared" si="5"/>
        <v>-33.862640160564752</v>
      </c>
    </row>
    <row r="18" spans="1:48" outlineLevel="1" x14ac:dyDescent="0.25">
      <c r="A18" s="51" t="s">
        <v>25</v>
      </c>
      <c r="B18" s="52">
        <f>#REF!</f>
        <v>1116.7254085014333</v>
      </c>
      <c r="C18" s="52">
        <f>#REF!</f>
        <v>992.38939661731536</v>
      </c>
      <c r="D18" s="52">
        <f>#REF!</f>
        <v>932.96808506651939</v>
      </c>
      <c r="E18" s="52">
        <f>#REF!</f>
        <v>951.12593750870883</v>
      </c>
      <c r="F18" s="52">
        <f>#REF!</f>
        <v>1081.7022655246876</v>
      </c>
      <c r="G18" s="52">
        <f>#REF!</f>
        <v>1084.1810327260134</v>
      </c>
      <c r="H18" s="52">
        <f>#REF!</f>
        <v>1198.3870831754853</v>
      </c>
      <c r="I18" s="52">
        <f>#REF!</f>
        <v>1384.9248481927566</v>
      </c>
      <c r="J18" s="52">
        <f>#REF!</f>
        <v>1288.1260716317763</v>
      </c>
      <c r="K18" s="52">
        <f>#REF!</f>
        <v>1353.709634567598</v>
      </c>
      <c r="L18" s="52">
        <f>#REF!</f>
        <v>1908.7841314126661</v>
      </c>
      <c r="M18" s="52">
        <f>#REF!</f>
        <v>2061.4371933464076</v>
      </c>
      <c r="N18" s="52">
        <f>#REF!</f>
        <v>2063.3791229426015</v>
      </c>
      <c r="O18" s="52">
        <f>#REF!</f>
        <v>2342.3181160836975</v>
      </c>
      <c r="P18" s="52">
        <f>#REF!</f>
        <v>2507.0626593013171</v>
      </c>
      <c r="Q18" s="52">
        <f>#REF!</f>
        <v>2552.7953464691873</v>
      </c>
      <c r="R18" s="52">
        <f>#REF!</f>
        <v>2538.7434105910074</v>
      </c>
      <c r="S18" s="52">
        <f>#REF!</f>
        <v>2580.4341213620519</v>
      </c>
      <c r="T18" s="52">
        <f>#REF!</f>
        <v>2301.583745387552</v>
      </c>
      <c r="U18" s="52">
        <f>#REF!</f>
        <v>1485.322669481403</v>
      </c>
      <c r="V18" s="52">
        <f>#REF!</f>
        <v>1299.0484147465629</v>
      </c>
      <c r="W18" s="52">
        <f>#REF!</f>
        <v>1167.2705389694754</v>
      </c>
      <c r="X18" s="52">
        <f>#REF!</f>
        <v>1391.9677990924165</v>
      </c>
      <c r="Y18" s="52">
        <f>#REF!</f>
        <v>1301.695001530657</v>
      </c>
      <c r="Z18" s="52">
        <f>#REF!</f>
        <v>1650.4531530457709</v>
      </c>
      <c r="AA18" s="52">
        <f>#REF!</f>
        <v>1830.3635214124336</v>
      </c>
      <c r="AB18" s="52">
        <f>#REF!</f>
        <v>1968.4013520332232</v>
      </c>
      <c r="AC18" s="52">
        <f>#REF!</f>
        <v>2039.8562560230891</v>
      </c>
      <c r="AD18" s="52">
        <f>#REF!</f>
        <v>2094.5489797619248</v>
      </c>
      <c r="AE18" s="52">
        <f>#REF!</f>
        <v>2057.8652228793621</v>
      </c>
      <c r="AF18" s="52">
        <f>#REF!</f>
        <v>1907.4373141016843</v>
      </c>
      <c r="AG18" s="52">
        <f>#REF!</f>
        <v>2256.9405207619102</v>
      </c>
      <c r="AH18" s="52">
        <f>#REF!</f>
        <v>2068.3747685666494</v>
      </c>
      <c r="AI18" s="52">
        <f>#REF!</f>
        <v>1933.8876215143528</v>
      </c>
      <c r="AJ18" s="52">
        <f>#REF!</f>
        <v>1654.3221432294367</v>
      </c>
      <c r="AK18" s="52">
        <f>#REF!</f>
        <v>1622.1031847023826</v>
      </c>
      <c r="AL18" s="15">
        <f t="shared" si="2"/>
        <v>5.1422834234437692E-2</v>
      </c>
      <c r="AM18" s="15">
        <f t="shared" si="3"/>
        <v>0.45255330661736315</v>
      </c>
      <c r="AN18" s="6"/>
      <c r="AO18" s="16">
        <f t="shared" si="4"/>
        <v>-1.9475625505537185E-2</v>
      </c>
      <c r="AP18" s="17">
        <f t="shared" si="5"/>
        <v>-32.218958527054156</v>
      </c>
    </row>
    <row r="19" spans="1:48" outlineLevel="1" x14ac:dyDescent="0.25">
      <c r="A19" s="51" t="s">
        <v>26</v>
      </c>
      <c r="B19" s="52">
        <f>(#REF!)</f>
        <v>990.23349783919457</v>
      </c>
      <c r="C19" s="52">
        <f>(#REF!)</f>
        <v>1030.3165009289526</v>
      </c>
      <c r="D19" s="52">
        <f>(#REF!)</f>
        <v>1003.5614679642191</v>
      </c>
      <c r="E19" s="52">
        <f>(#REF!)</f>
        <v>946.18678616206842</v>
      </c>
      <c r="F19" s="52">
        <f>(#REF!)</f>
        <v>1056.6256166776075</v>
      </c>
      <c r="G19" s="52">
        <f>(#REF!)</f>
        <v>973.43728270022268</v>
      </c>
      <c r="H19" s="52">
        <f>(#REF!)</f>
        <v>922.85045185393972</v>
      </c>
      <c r="I19" s="52">
        <f>(#REF!)</f>
        <v>1073.1245536725266</v>
      </c>
      <c r="J19" s="52">
        <f>(#REF!)</f>
        <v>1058.8056564006599</v>
      </c>
      <c r="K19" s="52">
        <f>(#REF!)</f>
        <v>942.81763386280556</v>
      </c>
      <c r="L19" s="52">
        <f>(#REF!)</f>
        <v>882.29535425118684</v>
      </c>
      <c r="M19" s="52">
        <f>(#REF!)</f>
        <v>1041.2883255458382</v>
      </c>
      <c r="N19" s="52">
        <f>(#REF!)</f>
        <v>810.98059959155819</v>
      </c>
      <c r="O19" s="52">
        <f>(#REF!)</f>
        <v>0.29746643374315695</v>
      </c>
      <c r="P19" s="52" t="s">
        <v>56</v>
      </c>
      <c r="Q19" s="52" t="s">
        <v>56</v>
      </c>
      <c r="R19" s="52" t="s">
        <v>56</v>
      </c>
      <c r="S19" s="52" t="s">
        <v>56</v>
      </c>
      <c r="T19" s="52" t="s">
        <v>56</v>
      </c>
      <c r="U19" s="52" t="s">
        <v>56</v>
      </c>
      <c r="V19" s="52" t="s">
        <v>56</v>
      </c>
      <c r="W19" s="52" t="s">
        <v>56</v>
      </c>
      <c r="X19" s="52" t="s">
        <v>56</v>
      </c>
      <c r="Y19" s="52" t="s">
        <v>56</v>
      </c>
      <c r="Z19" s="52" t="s">
        <v>56</v>
      </c>
      <c r="AA19" s="52" t="s">
        <v>56</v>
      </c>
      <c r="AB19" s="52" t="s">
        <v>56</v>
      </c>
      <c r="AC19" s="52" t="s">
        <v>56</v>
      </c>
      <c r="AD19" s="52" t="s">
        <v>56</v>
      </c>
      <c r="AE19" s="52" t="s">
        <v>56</v>
      </c>
      <c r="AF19" s="52" t="s">
        <v>56</v>
      </c>
      <c r="AG19" s="52" t="s">
        <v>56</v>
      </c>
      <c r="AH19" s="52" t="s">
        <v>56</v>
      </c>
      <c r="AI19" s="52" t="s">
        <v>56</v>
      </c>
      <c r="AJ19" s="52" t="s">
        <v>56</v>
      </c>
      <c r="AK19" s="52" t="s">
        <v>56</v>
      </c>
      <c r="AL19" s="15"/>
      <c r="AM19" s="15"/>
      <c r="AN19" s="6"/>
      <c r="AO19" s="16"/>
      <c r="AP19" s="17"/>
    </row>
    <row r="20" spans="1:48" outlineLevel="1" x14ac:dyDescent="0.25">
      <c r="A20" s="51" t="s">
        <v>27</v>
      </c>
      <c r="B20" s="52">
        <f>#REF!</f>
        <v>26.080000000000002</v>
      </c>
      <c r="C20" s="52">
        <f>#REF!</f>
        <v>23.44</v>
      </c>
      <c r="D20" s="52">
        <f>#REF!</f>
        <v>20.56</v>
      </c>
      <c r="E20" s="52">
        <f>#REF!</f>
        <v>26.080000000000002</v>
      </c>
      <c r="F20" s="52">
        <f>#REF!</f>
        <v>21.28</v>
      </c>
      <c r="G20" s="52">
        <f>#REF!</f>
        <v>24.8</v>
      </c>
      <c r="H20" s="52">
        <f>#REF!</f>
        <v>27.28</v>
      </c>
      <c r="I20" s="52">
        <f>#REF!</f>
        <v>26.96</v>
      </c>
      <c r="J20" s="52">
        <f>#REF!</f>
        <v>28.64</v>
      </c>
      <c r="K20" s="52">
        <f>#REF!</f>
        <v>26.8</v>
      </c>
      <c r="L20" s="52">
        <f>#REF!</f>
        <v>28.8</v>
      </c>
      <c r="M20" s="52">
        <f>#REF!</f>
        <v>12</v>
      </c>
      <c r="N20" s="52" t="str">
        <f>#REF!</f>
        <v>NO</v>
      </c>
      <c r="O20" s="52" t="str">
        <f>#REF!</f>
        <v>NO</v>
      </c>
      <c r="P20" s="52" t="str">
        <f>#REF!</f>
        <v>NO</v>
      </c>
      <c r="Q20" s="52" t="str">
        <f>#REF!</f>
        <v>NO</v>
      </c>
      <c r="R20" s="52" t="str">
        <f>#REF!</f>
        <v>NO</v>
      </c>
      <c r="S20" s="52" t="str">
        <f>#REF!</f>
        <v>NO</v>
      </c>
      <c r="T20" s="52" t="str">
        <f>#REF!</f>
        <v>NO</v>
      </c>
      <c r="U20" s="52" t="str">
        <f>#REF!</f>
        <v>NO</v>
      </c>
      <c r="V20" s="52" t="str">
        <f>#REF!</f>
        <v>NO</v>
      </c>
      <c r="W20" s="52" t="str">
        <f>#REF!</f>
        <v>NO</v>
      </c>
      <c r="X20" s="52" t="str">
        <f>#REF!</f>
        <v>NO</v>
      </c>
      <c r="Y20" s="52" t="str">
        <f>#REF!</f>
        <v>NO</v>
      </c>
      <c r="Z20" s="52" t="str">
        <f>#REF!</f>
        <v>NO</v>
      </c>
      <c r="AA20" s="52" t="str">
        <f>#REF!</f>
        <v>NO</v>
      </c>
      <c r="AB20" s="52" t="str">
        <f>#REF!</f>
        <v>NO</v>
      </c>
      <c r="AC20" s="52" t="str">
        <f>#REF!</f>
        <v>NO</v>
      </c>
      <c r="AD20" s="52" t="str">
        <f>#REF!</f>
        <v>NO</v>
      </c>
      <c r="AE20" s="52" t="str">
        <f>#REF!</f>
        <v>NO</v>
      </c>
      <c r="AF20" s="52" t="str">
        <f>#REF!</f>
        <v>NO</v>
      </c>
      <c r="AG20" s="52" t="str">
        <f>#REF!</f>
        <v>NO</v>
      </c>
      <c r="AH20" s="52" t="str">
        <f>#REF!</f>
        <v>NO</v>
      </c>
      <c r="AI20" s="52" t="str">
        <f>#REF!</f>
        <v>NO</v>
      </c>
      <c r="AJ20" s="52" t="str">
        <f>#REF!</f>
        <v>NO</v>
      </c>
      <c r="AK20" s="52" t="str">
        <f>#REF!</f>
        <v>NO</v>
      </c>
      <c r="AL20" s="15"/>
      <c r="AM20" s="15"/>
      <c r="AN20" s="6"/>
      <c r="AO20" s="16"/>
      <c r="AP20" s="17"/>
    </row>
    <row r="21" spans="1:48" outlineLevel="1" x14ac:dyDescent="0.25">
      <c r="A21" s="51" t="s">
        <v>28</v>
      </c>
      <c r="B21" s="52">
        <f>(#REF!+#REF!+#REF!+#REF!)</f>
        <v>115.54972263611637</v>
      </c>
      <c r="C21" s="52">
        <f>(#REF!+#REF!+#REF!+#REF!)</f>
        <v>103.86669873793002</v>
      </c>
      <c r="D21" s="52">
        <f>(#REF!+#REF!+#REF!+#REF!)</f>
        <v>104.2049843328175</v>
      </c>
      <c r="E21" s="52">
        <f>(#REF!+#REF!+#REF!+#REF!)</f>
        <v>102.97425570313355</v>
      </c>
      <c r="F21" s="52">
        <f>(#REF!+#REF!+#REF!+#REF!)</f>
        <v>104.83032546301699</v>
      </c>
      <c r="G21" s="52">
        <f>(#REF!+#REF!+#REF!+#REF!)</f>
        <v>95.448213425978267</v>
      </c>
      <c r="H21" s="52">
        <f>(#REF!+#REF!+#REF!+#REF!)</f>
        <v>111.07900760029547</v>
      </c>
      <c r="I21" s="52">
        <f>(#REF!+#REF!+#REF!+#REF!)</f>
        <v>103.3437885310892</v>
      </c>
      <c r="J21" s="52">
        <f>(#REF!+#REF!+#REF!+#REF!)</f>
        <v>101.97324379802632</v>
      </c>
      <c r="K21" s="52">
        <f>(#REF!+#REF!+#REF!+#REF!)</f>
        <v>104.05523811024052</v>
      </c>
      <c r="L21" s="52">
        <f>(#REF!+#REF!+#REF!+#REF!)</f>
        <v>154.76118694999948</v>
      </c>
      <c r="M21" s="52">
        <f>(#REF!+#REF!+#REF!+#REF!)</f>
        <v>111.06401415208632</v>
      </c>
      <c r="N21" s="52">
        <f>(#REF!+#REF!+#REF!+#REF!)</f>
        <v>112.31572399117607</v>
      </c>
      <c r="O21" s="52">
        <f>(#REF!+#REF!+#REF!+#REF!)</f>
        <v>117.16584931873682</v>
      </c>
      <c r="P21" s="52">
        <f>(#REF!+#REF!+#REF!+#REF!)</f>
        <v>123.96368837568204</v>
      </c>
      <c r="Q21" s="52">
        <f>(#REF!+#REF!+#REF!+#REF!)</f>
        <v>170.9478395393262</v>
      </c>
      <c r="R21" s="52">
        <f>(#REF!+#REF!+#REF!+#REF!)</f>
        <v>126.99002702645743</v>
      </c>
      <c r="S21" s="52">
        <f>(#REF!+#REF!+#REF!+#REF!)</f>
        <v>141.77789240934803</v>
      </c>
      <c r="T21" s="52">
        <f>(#REF!+#REF!+#REF!+#REF!)</f>
        <v>129.67938730143075</v>
      </c>
      <c r="U21" s="52">
        <f>(#REF!+#REF!+#REF!+#REF!)</f>
        <v>130.29161774117625</v>
      </c>
      <c r="V21" s="52">
        <f>(#REF!+#REF!+#REF!+#REF!)</f>
        <v>122.52203479167653</v>
      </c>
      <c r="W21" s="52">
        <f>(#REF!+#REF!+#REF!+#REF!)</f>
        <v>123.24645523778807</v>
      </c>
      <c r="X21" s="52">
        <f>(#REF!+#REF!+#REF!+#REF!)</f>
        <v>124.80991738706712</v>
      </c>
      <c r="Y21" s="52">
        <f>(#REF!+#REF!+#REF!+#REF!)</f>
        <v>130.97093121609504</v>
      </c>
      <c r="Z21" s="52">
        <f>(#REF!+#REF!+#REF!+#REF!)</f>
        <v>127.19108995840783</v>
      </c>
      <c r="AA21" s="52">
        <f>(#REF!+#REF!+#REF!+#REF!)</f>
        <v>133.91368788481955</v>
      </c>
      <c r="AB21" s="52">
        <f>(#REF!+#REF!+#REF!+#REF!)</f>
        <v>137.37001805921938</v>
      </c>
      <c r="AC21" s="52">
        <f>(#REF!+#REF!+#REF!+#REF!)</f>
        <v>152.98504282858312</v>
      </c>
      <c r="AD21" s="52">
        <f>(#REF!+#REF!+#REF!+#REF!)</f>
        <v>154.45328301743493</v>
      </c>
      <c r="AE21" s="52">
        <f>(#REF!+#REF!+#REF!+#REF!)</f>
        <v>162.27513922862994</v>
      </c>
      <c r="AF21" s="52">
        <f>(#REF!+#REF!+#REF!+#REF!)</f>
        <v>155.20024078043815</v>
      </c>
      <c r="AG21" s="52">
        <f>(#REF!+#REF!+#REF!+#REF!)</f>
        <v>169.85882978109433</v>
      </c>
      <c r="AH21" s="52">
        <f>(#REF!+#REF!+#REF!+#REF!)</f>
        <v>178.9494077163375</v>
      </c>
      <c r="AI21" s="52">
        <f>(#REF!+#REF!+#REF!+#REF!)</f>
        <v>171.14997480533501</v>
      </c>
      <c r="AJ21" s="52">
        <f>(#REF!+#REF!+#REF!+#REF!)</f>
        <v>169.68808650936811</v>
      </c>
      <c r="AK21" s="52">
        <f>(#REF!+#REF!+#REF!+#REF!)</f>
        <v>168.04440487585737</v>
      </c>
      <c r="AL21" s="15">
        <f>AK21/$AK$47</f>
        <v>5.3272317429926153E-3</v>
      </c>
      <c r="AM21" s="15">
        <f>(AK21-B21)/B21</f>
        <v>0.45430383597764856</v>
      </c>
      <c r="AN21" s="6"/>
      <c r="AO21" s="16">
        <f>(AK21-AJ21)/AJ21</f>
        <v>-9.6864881166539296E-3</v>
      </c>
      <c r="AP21" s="17">
        <f>AK21-AJ21</f>
        <v>-1.643681633510738</v>
      </c>
    </row>
    <row r="22" spans="1:48" outlineLevel="1" x14ac:dyDescent="0.25">
      <c r="A22" s="51" t="s">
        <v>29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15"/>
      <c r="AM22" s="15"/>
      <c r="AN22" s="6"/>
      <c r="AO22" s="16"/>
      <c r="AP22" s="17"/>
    </row>
    <row r="23" spans="1:48" x14ac:dyDescent="0.25">
      <c r="A23" s="53" t="s">
        <v>30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9"/>
      <c r="AM23" s="9"/>
      <c r="AN23" s="6"/>
      <c r="AO23" s="11"/>
      <c r="AP23" s="12"/>
      <c r="AV23" s="10"/>
    </row>
    <row r="24" spans="1:48" x14ac:dyDescent="0.25">
      <c r="A24" s="53" t="s">
        <v>31</v>
      </c>
      <c r="B24" s="50">
        <f t="shared" ref="B24:AA24" si="10">SUM(B25:B31)</f>
        <v>1198.9399944037998</v>
      </c>
      <c r="C24" s="50">
        <f t="shared" si="10"/>
        <v>1194.4077297364577</v>
      </c>
      <c r="D24" s="50">
        <f t="shared" si="10"/>
        <v>1168.9517068408493</v>
      </c>
      <c r="E24" s="50">
        <f t="shared" si="10"/>
        <v>1267.5341566380346</v>
      </c>
      <c r="F24" s="50">
        <f t="shared" si="10"/>
        <v>1278.6789766673246</v>
      </c>
      <c r="G24" s="50">
        <f t="shared" si="10"/>
        <v>1648.8466040598496</v>
      </c>
      <c r="H24" s="50">
        <f t="shared" si="10"/>
        <v>1438.4147604229861</v>
      </c>
      <c r="I24" s="50">
        <f t="shared" si="10"/>
        <v>1382.8723307707157</v>
      </c>
      <c r="J24" s="50">
        <f t="shared" si="10"/>
        <v>1283.7647843129075</v>
      </c>
      <c r="K24" s="50">
        <f t="shared" si="10"/>
        <v>1395.4933742302219</v>
      </c>
      <c r="L24" s="50">
        <f t="shared" si="10"/>
        <v>1392.4830440321787</v>
      </c>
      <c r="M24" s="50">
        <f t="shared" si="10"/>
        <v>1414.6060902713609</v>
      </c>
      <c r="N24" s="50">
        <f t="shared" si="10"/>
        <v>1287.4433518726487</v>
      </c>
      <c r="O24" s="50">
        <f t="shared" si="10"/>
        <v>1444.0342663488727</v>
      </c>
      <c r="P24" s="50">
        <f t="shared" si="10"/>
        <v>1270.8219547802405</v>
      </c>
      <c r="Q24" s="50">
        <f t="shared" si="10"/>
        <v>1332.8216767638457</v>
      </c>
      <c r="R24" s="50">
        <f t="shared" si="10"/>
        <v>1273.9354009012516</v>
      </c>
      <c r="S24" s="50">
        <f t="shared" si="10"/>
        <v>1331.6204599335015</v>
      </c>
      <c r="T24" s="50">
        <f t="shared" si="10"/>
        <v>1280.5448131267563</v>
      </c>
      <c r="U24" s="50">
        <f t="shared" si="10"/>
        <v>1212.2065337835534</v>
      </c>
      <c r="V24" s="50">
        <f t="shared" si="10"/>
        <v>1282.5328181477573</v>
      </c>
      <c r="W24" s="50">
        <f t="shared" si="10"/>
        <v>1145.8269252156883</v>
      </c>
      <c r="X24" s="50">
        <f t="shared" si="10"/>
        <v>966.57532231969185</v>
      </c>
      <c r="Y24" s="50">
        <f t="shared" si="10"/>
        <v>1178.8340251763614</v>
      </c>
      <c r="Z24" s="50">
        <f t="shared" si="10"/>
        <v>1001.9833347796048</v>
      </c>
      <c r="AA24" s="50">
        <f t="shared" si="10"/>
        <v>995.22248899946635</v>
      </c>
      <c r="AB24" s="50">
        <f>SUM(AB25:AB31)</f>
        <v>1063.2121053964531</v>
      </c>
      <c r="AC24" s="50">
        <f>SUM(AC25:AC31)</f>
        <v>993.20516903171142</v>
      </c>
      <c r="AD24" s="50">
        <f t="shared" ref="AD24:AK24" si="11">SUM(AD25:AD31)</f>
        <v>1173.6039863328251</v>
      </c>
      <c r="AE24" s="50">
        <f t="shared" si="11"/>
        <v>1069.1133051169923</v>
      </c>
      <c r="AF24" s="50">
        <f t="shared" si="11"/>
        <v>1162.359051499262</v>
      </c>
      <c r="AG24" s="50">
        <f t="shared" si="11"/>
        <v>1347.9655266502359</v>
      </c>
      <c r="AH24" s="50">
        <f t="shared" si="11"/>
        <v>1599.560711718734</v>
      </c>
      <c r="AI24" s="50">
        <f t="shared" si="11"/>
        <v>1320.0731523687475</v>
      </c>
      <c r="AJ24" s="50">
        <f t="shared" si="11"/>
        <v>1366.6144163619349</v>
      </c>
      <c r="AK24" s="50">
        <f t="shared" si="11"/>
        <v>1355.8509075050595</v>
      </c>
      <c r="AL24" s="9">
        <f>AK24/$AK$47</f>
        <v>4.2982281966259042E-2</v>
      </c>
      <c r="AM24" s="9">
        <f>(AK24-B24)/B24</f>
        <v>0.13087470084713221</v>
      </c>
      <c r="AN24" s="6"/>
      <c r="AO24" s="11">
        <f>(AK24-AJ24)/AJ24</f>
        <v>-7.8760393041432831E-3</v>
      </c>
      <c r="AP24" s="12">
        <f>AK24-AJ24</f>
        <v>-10.763508856875433</v>
      </c>
      <c r="AS24" s="54"/>
      <c r="AT24" s="54"/>
      <c r="AU24" s="54"/>
    </row>
    <row r="25" spans="1:48" outlineLevel="1" x14ac:dyDescent="0.25">
      <c r="A25" s="51" t="s">
        <v>32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15"/>
      <c r="AM25" s="15"/>
      <c r="AN25" s="6"/>
      <c r="AO25" s="16"/>
      <c r="AP25" s="17"/>
    </row>
    <row r="26" spans="1:48" outlineLevel="1" x14ac:dyDescent="0.25">
      <c r="A26" s="51" t="s">
        <v>33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15"/>
      <c r="AM26" s="15"/>
      <c r="AN26" s="6"/>
      <c r="AO26" s="16"/>
      <c r="AP26" s="17"/>
    </row>
    <row r="27" spans="1:48" outlineLevel="1" x14ac:dyDescent="0.25">
      <c r="A27" s="51" t="s">
        <v>34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15"/>
      <c r="AM27" s="15"/>
      <c r="AN27" s="6"/>
      <c r="AO27" s="16"/>
      <c r="AP27" s="17"/>
      <c r="AS27" s="55"/>
      <c r="AT27" s="39"/>
    </row>
    <row r="28" spans="1:48" outlineLevel="1" x14ac:dyDescent="0.25">
      <c r="A28" s="51" t="s">
        <v>35</v>
      </c>
      <c r="B28" s="52">
        <f>#REF!</f>
        <v>355.036</v>
      </c>
      <c r="C28" s="52">
        <f>#REF!</f>
        <v>315.14515999999998</v>
      </c>
      <c r="D28" s="52">
        <f>#REF!</f>
        <v>255.60083999999998</v>
      </c>
      <c r="E28" s="52">
        <f>#REF!</f>
        <v>357.2998</v>
      </c>
      <c r="F28" s="52">
        <f>#REF!</f>
        <v>269.64124000000004</v>
      </c>
      <c r="G28" s="52">
        <f>#REF!</f>
        <v>494.59520000000003</v>
      </c>
      <c r="H28" s="52">
        <f>#REF!</f>
        <v>484.03343999999993</v>
      </c>
      <c r="I28" s="52">
        <f>#REF!</f>
        <v>423.48680000000002</v>
      </c>
      <c r="J28" s="52">
        <f>#REF!</f>
        <v>305.58044000000001</v>
      </c>
      <c r="K28" s="52">
        <f>#REF!</f>
        <v>383.22723999999999</v>
      </c>
      <c r="L28" s="52">
        <f>#REF!</f>
        <v>366.38315999999998</v>
      </c>
      <c r="M28" s="52">
        <f>#REF!</f>
        <v>385.28247999999996</v>
      </c>
      <c r="N28" s="52">
        <f>#REF!</f>
        <v>273.89956000000001</v>
      </c>
      <c r="O28" s="52">
        <f>#REF!</f>
        <v>386.76</v>
      </c>
      <c r="P28" s="52">
        <f>#REF!</f>
        <v>240.79571999999996</v>
      </c>
      <c r="Q28" s="52">
        <f>#REF!</f>
        <v>266.73371999999995</v>
      </c>
      <c r="R28" s="52">
        <f>#REF!</f>
        <v>254.85636</v>
      </c>
      <c r="S28" s="52">
        <f>#REF!</f>
        <v>376.76671999999996</v>
      </c>
      <c r="T28" s="52">
        <f>#REF!</f>
        <v>262.20744000000002</v>
      </c>
      <c r="U28" s="52">
        <f>#REF!</f>
        <v>307.32239999999996</v>
      </c>
      <c r="V28" s="52">
        <f>#REF!</f>
        <v>427.93387999999993</v>
      </c>
      <c r="W28" s="52">
        <f>#REF!</f>
        <v>360.67856</v>
      </c>
      <c r="X28" s="52">
        <f>#REF!</f>
        <v>229.39619999999999</v>
      </c>
      <c r="Y28" s="52">
        <f>#REF!</f>
        <v>515.69275999999991</v>
      </c>
      <c r="Z28" s="52">
        <f>#REF!</f>
        <v>391.07495680000005</v>
      </c>
      <c r="AA28" s="52">
        <f>#REF!</f>
        <v>401.14668</v>
      </c>
      <c r="AB28" s="52">
        <f>#REF!</f>
        <v>433.59667999999999</v>
      </c>
      <c r="AC28" s="52">
        <f>#REF!</f>
        <v>332.74647999999996</v>
      </c>
      <c r="AD28" s="52">
        <f>#REF!</f>
        <v>461.05708000000004</v>
      </c>
      <c r="AE28" s="52">
        <f>#REF!</f>
        <v>343.90247759999994</v>
      </c>
      <c r="AF28" s="52">
        <f>#REF!</f>
        <v>399.48303999999996</v>
      </c>
      <c r="AG28" s="52">
        <f>#REF!</f>
        <v>597.40603999999996</v>
      </c>
      <c r="AH28" s="52">
        <f>#REF!</f>
        <v>623.97631999999999</v>
      </c>
      <c r="AI28" s="52">
        <f>#REF!</f>
        <v>457.79579999999999</v>
      </c>
      <c r="AJ28" s="52">
        <f>#REF!</f>
        <v>453.53203719999999</v>
      </c>
      <c r="AK28" s="52">
        <f>#REF!</f>
        <v>409.08510719999998</v>
      </c>
      <c r="AL28" s="15">
        <f>AK28/$AK$47</f>
        <v>1.2968543464873621E-2</v>
      </c>
      <c r="AM28" s="15">
        <f>(AK28-B28)/B28</f>
        <v>0.15223556822406736</v>
      </c>
      <c r="AN28" s="6"/>
      <c r="AO28" s="16">
        <f>(AK28-AJ28)/AJ28</f>
        <v>-9.8001742664983252E-2</v>
      </c>
      <c r="AP28" s="17">
        <f>AK28-AJ28</f>
        <v>-44.446930000000009</v>
      </c>
    </row>
    <row r="29" spans="1:48" outlineLevel="1" x14ac:dyDescent="0.25">
      <c r="A29" s="51" t="s">
        <v>36</v>
      </c>
      <c r="B29" s="52">
        <f>#REF!</f>
        <v>96.677023188405784</v>
      </c>
      <c r="C29" s="52">
        <f>#REF!</f>
        <v>99.628382821946872</v>
      </c>
      <c r="D29" s="52">
        <f>#REF!</f>
        <v>118.08579710144927</v>
      </c>
      <c r="E29" s="52">
        <f>#REF!</f>
        <v>99.875217391304361</v>
      </c>
      <c r="F29" s="52">
        <f>#REF!</f>
        <v>98.719420289855051</v>
      </c>
      <c r="G29" s="52">
        <f>#REF!</f>
        <v>86.267101449275344</v>
      </c>
      <c r="H29" s="52">
        <f>#REF!</f>
        <v>87.18695652173912</v>
      </c>
      <c r="I29" s="52">
        <f>#REF!</f>
        <v>82.633913043478259</v>
      </c>
      <c r="J29" s="52">
        <f>#REF!</f>
        <v>95.371594202898564</v>
      </c>
      <c r="K29" s="52">
        <f>#REF!</f>
        <v>103.53391304347825</v>
      </c>
      <c r="L29" s="52">
        <f>#REF!</f>
        <v>91.8436231884058</v>
      </c>
      <c r="M29" s="52">
        <f>#REF!</f>
        <v>83.63666666666667</v>
      </c>
      <c r="N29" s="52">
        <f>#REF!</f>
        <v>80.805362318840594</v>
      </c>
      <c r="O29" s="52">
        <f>#REF!</f>
        <v>78.482608695652175</v>
      </c>
      <c r="P29" s="52">
        <f>#REF!</f>
        <v>66.857681159420295</v>
      </c>
      <c r="Q29" s="52">
        <f>#REF!</f>
        <v>60.814599999999999</v>
      </c>
      <c r="R29" s="52">
        <f>#REF!</f>
        <v>64.755533333333346</v>
      </c>
      <c r="S29" s="52">
        <f>#REF!</f>
        <v>50.899933333333344</v>
      </c>
      <c r="T29" s="52">
        <f>#REF!</f>
        <v>66.973133333333351</v>
      </c>
      <c r="U29" s="52">
        <f>#REF!</f>
        <v>89.020800000000008</v>
      </c>
      <c r="V29" s="52">
        <f>#REF!</f>
        <v>98.243200000000016</v>
      </c>
      <c r="W29" s="52">
        <f>#REF!</f>
        <v>70.265799999999999</v>
      </c>
      <c r="X29" s="52">
        <f>#REF!</f>
        <v>46.351066666666675</v>
      </c>
      <c r="Y29" s="52">
        <f>#REF!</f>
        <v>47.090266666666672</v>
      </c>
      <c r="Z29" s="52">
        <f>#REF!</f>
        <v>54.549733333333336</v>
      </c>
      <c r="AA29" s="52">
        <f>#REF!</f>
        <v>64.265666666666661</v>
      </c>
      <c r="AB29" s="52">
        <f>#REF!</f>
        <v>81.790133333333344</v>
      </c>
      <c r="AC29" s="52">
        <f>#REF!</f>
        <v>83.988666666666674</v>
      </c>
      <c r="AD29" s="52">
        <f>#REF!</f>
        <v>90.42880000000001</v>
      </c>
      <c r="AE29" s="52">
        <f>#REF!</f>
        <v>96.082066666666663</v>
      </c>
      <c r="AF29" s="52">
        <f>#REF!</f>
        <v>110.17820000000002</v>
      </c>
      <c r="AG29" s="52">
        <f>#REF!</f>
        <v>106.40373333333334</v>
      </c>
      <c r="AH29" s="52">
        <f>#REF!</f>
        <v>143.90640000000002</v>
      </c>
      <c r="AI29" s="52">
        <f>#REF!</f>
        <v>139.22972077294688</v>
      </c>
      <c r="AJ29" s="52">
        <f>#REF!</f>
        <v>173.39875962720419</v>
      </c>
      <c r="AK29" s="52">
        <f>#REF!</f>
        <v>143.96768115942032</v>
      </c>
      <c r="AL29" s="15">
        <f>AK29/$AK$47</f>
        <v>4.5639674918310242E-3</v>
      </c>
      <c r="AM29" s="15">
        <f>(AK29-B29)/B29</f>
        <v>0.48916129615258969</v>
      </c>
      <c r="AN29" s="6"/>
      <c r="AO29" s="16">
        <f>(AK29-AJ29)/AJ29</f>
        <v>-0.1697306170531942</v>
      </c>
      <c r="AP29" s="17">
        <f>AK29-AJ29</f>
        <v>-29.431078467783863</v>
      </c>
    </row>
    <row r="30" spans="1:48" outlineLevel="1" x14ac:dyDescent="0.25">
      <c r="A30" s="51" t="s">
        <v>37</v>
      </c>
      <c r="B30" s="52">
        <f>#REF!</f>
        <v>660.29504306688011</v>
      </c>
      <c r="C30" s="52">
        <f>#REF!</f>
        <v>685.69100626175987</v>
      </c>
      <c r="D30" s="52">
        <f>#REF!</f>
        <v>695.21449245984002</v>
      </c>
      <c r="E30" s="52">
        <f>#REF!</f>
        <v>698.38898785920003</v>
      </c>
      <c r="F30" s="52">
        <f>#REF!</f>
        <v>793.62384984000016</v>
      </c>
      <c r="G30" s="52">
        <f>#REF!</f>
        <v>911.08017961631992</v>
      </c>
      <c r="H30" s="52">
        <f>#REF!</f>
        <v>733.30843725215993</v>
      </c>
      <c r="I30" s="52">
        <f>#REF!</f>
        <v>758.70440044704003</v>
      </c>
      <c r="J30" s="52">
        <f>#REF!</f>
        <v>752.35540964831989</v>
      </c>
      <c r="K30" s="52">
        <f>#REF!</f>
        <v>793.62384984000016</v>
      </c>
      <c r="L30" s="52">
        <f>#REF!</f>
        <v>822.19430843424004</v>
      </c>
      <c r="M30" s="52">
        <f>#REF!</f>
        <v>831.71779463231996</v>
      </c>
      <c r="N30" s="52">
        <f>#REF!</f>
        <v>834.89229003167998</v>
      </c>
      <c r="O30" s="52">
        <f>#REF!</f>
        <v>838.06678543103988</v>
      </c>
      <c r="P30" s="52">
        <f>#REF!</f>
        <v>803.14733603807997</v>
      </c>
      <c r="Q30" s="52">
        <f>#REF!</f>
        <v>861.83792983058561</v>
      </c>
      <c r="R30" s="52">
        <f>#REF!</f>
        <v>826.20029863733714</v>
      </c>
      <c r="S30" s="52">
        <f>#REF!</f>
        <v>784.47000256854335</v>
      </c>
      <c r="T30" s="52">
        <f>#REF!</f>
        <v>848.79127313502704</v>
      </c>
      <c r="U30" s="52">
        <f>#REF!</f>
        <v>719.95377346400699</v>
      </c>
      <c r="V30" s="52">
        <f>#REF!</f>
        <v>680.96838458640741</v>
      </c>
      <c r="W30" s="52">
        <f>#REF!</f>
        <v>652.43870612419562</v>
      </c>
      <c r="X30" s="52">
        <f>#REF!</f>
        <v>621.70192293919752</v>
      </c>
      <c r="Y30" s="52">
        <f>#REF!</f>
        <v>539.13240815756023</v>
      </c>
      <c r="Z30" s="52">
        <f>#REF!</f>
        <v>483.07046092071607</v>
      </c>
      <c r="AA30" s="52">
        <f>#REF!</f>
        <v>465.37682572852486</v>
      </c>
      <c r="AB30" s="52">
        <f>#REF!</f>
        <v>488.65913257879959</v>
      </c>
      <c r="AC30" s="52">
        <f>#REF!</f>
        <v>506.40799239032447</v>
      </c>
      <c r="AD30" s="52">
        <f>#REF!</f>
        <v>538.49032848605759</v>
      </c>
      <c r="AE30" s="52">
        <f>#REF!</f>
        <v>556.92338442511834</v>
      </c>
      <c r="AF30" s="52">
        <f>#REF!</f>
        <v>593.84089573260576</v>
      </c>
      <c r="AG30" s="52">
        <f>#REF!</f>
        <v>586.57083612100246</v>
      </c>
      <c r="AH30" s="52">
        <f>#REF!</f>
        <v>778.62578703663667</v>
      </c>
      <c r="AI30" s="52">
        <f>#REF!</f>
        <v>660.47948114848248</v>
      </c>
      <c r="AJ30" s="52">
        <f>#REF!</f>
        <v>675.19510062790448</v>
      </c>
      <c r="AK30" s="52">
        <f>#REF!</f>
        <v>738.30960023881312</v>
      </c>
      <c r="AL30" s="15">
        <f>AK30/$AK$47</f>
        <v>2.340539895662698E-2</v>
      </c>
      <c r="AM30" s="15">
        <f>(AK30-B30)/B30</f>
        <v>0.11815105685115836</v>
      </c>
      <c r="AN30" s="6"/>
      <c r="AO30" s="16">
        <f>(AK30-AJ30)/AJ30</f>
        <v>9.3475944289605581E-2</v>
      </c>
      <c r="AP30" s="17">
        <f>AK30-AJ30</f>
        <v>63.114499610908638</v>
      </c>
    </row>
    <row r="31" spans="1:48" outlineLevel="1" x14ac:dyDescent="0.25">
      <c r="A31" s="51" t="s">
        <v>38</v>
      </c>
      <c r="B31" s="52">
        <f>#REF!</f>
        <v>86.931928148513919</v>
      </c>
      <c r="C31" s="52">
        <f>#REF!</f>
        <v>93.943180652750939</v>
      </c>
      <c r="D31" s="52">
        <f>#REF!</f>
        <v>100.0505772795599</v>
      </c>
      <c r="E31" s="52">
        <f>#REF!</f>
        <v>111.97015138753022</v>
      </c>
      <c r="F31" s="52">
        <f>#REF!</f>
        <v>116.69446653746948</v>
      </c>
      <c r="G31" s="52">
        <f>#REF!</f>
        <v>156.90412299425418</v>
      </c>
      <c r="H31" s="52">
        <f>#REF!</f>
        <v>133.88592664908711</v>
      </c>
      <c r="I31" s="52">
        <f>#REF!</f>
        <v>118.04721728019732</v>
      </c>
      <c r="J31" s="52">
        <f>#REF!</f>
        <v>130.45734046168897</v>
      </c>
      <c r="K31" s="52">
        <f>#REF!</f>
        <v>115.10837134674341</v>
      </c>
      <c r="L31" s="52">
        <f>#REF!</f>
        <v>112.06195240953299</v>
      </c>
      <c r="M31" s="52">
        <f>#REF!</f>
        <v>113.96914897237438</v>
      </c>
      <c r="N31" s="52">
        <f>#REF!</f>
        <v>97.84613952212807</v>
      </c>
      <c r="O31" s="52">
        <f>#REF!</f>
        <v>140.72487222218066</v>
      </c>
      <c r="P31" s="52">
        <f>#REF!</f>
        <v>160.02121758274026</v>
      </c>
      <c r="Q31" s="52">
        <f>#REF!</f>
        <v>143.4354269332602</v>
      </c>
      <c r="R31" s="52">
        <f>#REF!</f>
        <v>128.12320893058111</v>
      </c>
      <c r="S31" s="52">
        <f>#REF!</f>
        <v>119.48380403162501</v>
      </c>
      <c r="T31" s="52">
        <f>#REF!</f>
        <v>102.57296665839588</v>
      </c>
      <c r="U31" s="52">
        <f>#REF!</f>
        <v>95.909560319546543</v>
      </c>
      <c r="V31" s="52">
        <f>#REF!</f>
        <v>75.387353561349926</v>
      </c>
      <c r="W31" s="52">
        <f>#REF!</f>
        <v>62.443859091492577</v>
      </c>
      <c r="X31" s="52">
        <f>#REF!</f>
        <v>69.12613271382773</v>
      </c>
      <c r="Y31" s="52">
        <f>#REF!</f>
        <v>76.918590352134473</v>
      </c>
      <c r="Z31" s="52">
        <f>#REF!</f>
        <v>73.288183725555328</v>
      </c>
      <c r="AA31" s="52">
        <f>#REF!</f>
        <v>64.433316604274694</v>
      </c>
      <c r="AB31" s="52">
        <f>#REF!</f>
        <v>59.166159484320268</v>
      </c>
      <c r="AC31" s="52">
        <f>#REF!</f>
        <v>70.062029974720275</v>
      </c>
      <c r="AD31" s="52">
        <f>#REF!</f>
        <v>83.627777846767401</v>
      </c>
      <c r="AE31" s="52">
        <f>#REF!</f>
        <v>72.205376425207419</v>
      </c>
      <c r="AF31" s="52">
        <f>#REF!</f>
        <v>58.856915766656442</v>
      </c>
      <c r="AG31" s="52">
        <f>#REF!</f>
        <v>57.584917195900204</v>
      </c>
      <c r="AH31" s="52">
        <f>#REF!</f>
        <v>53.052204682097219</v>
      </c>
      <c r="AI31" s="52">
        <f>#REF!</f>
        <v>62.568150447318196</v>
      </c>
      <c r="AJ31" s="52">
        <f>#REF!</f>
        <v>64.488518906826229</v>
      </c>
      <c r="AK31" s="52">
        <f>#REF!</f>
        <v>64.488518906826229</v>
      </c>
      <c r="AL31" s="15">
        <f>AK31/$AK$47</f>
        <v>2.0443720529274264E-3</v>
      </c>
      <c r="AM31" s="15">
        <f>(AK31-B31)/B31</f>
        <v>-0.25817222417229169</v>
      </c>
      <c r="AN31" s="6"/>
      <c r="AO31" s="16">
        <f>(AK31-AJ31)/AJ31</f>
        <v>0</v>
      </c>
      <c r="AP31" s="17">
        <f>AK31-AJ31</f>
        <v>0</v>
      </c>
    </row>
    <row r="32" spans="1:48" x14ac:dyDescent="0.25">
      <c r="A32" s="53" t="s">
        <v>39</v>
      </c>
      <c r="B32" s="50">
        <f t="shared" ref="B32:AA32" si="12">SUM(B33:B36)</f>
        <v>95.586393100615695</v>
      </c>
      <c r="C32" s="50">
        <f t="shared" si="12"/>
        <v>95.701568661959485</v>
      </c>
      <c r="D32" s="50">
        <f t="shared" si="12"/>
        <v>96.409777034925</v>
      </c>
      <c r="E32" s="50">
        <f t="shared" si="12"/>
        <v>97.146005771354794</v>
      </c>
      <c r="F32" s="50">
        <f t="shared" si="12"/>
        <v>97.743558859034948</v>
      </c>
      <c r="G32" s="50">
        <f t="shared" si="12"/>
        <v>98.1600335732833</v>
      </c>
      <c r="H32" s="50">
        <f t="shared" si="12"/>
        <v>98.185391741055099</v>
      </c>
      <c r="I32" s="50">
        <f t="shared" si="12"/>
        <v>82.529457412034816</v>
      </c>
      <c r="J32" s="50">
        <f t="shared" si="12"/>
        <v>64.743899658318327</v>
      </c>
      <c r="K32" s="50">
        <f t="shared" si="12"/>
        <v>71.990219596908574</v>
      </c>
      <c r="L32" s="50">
        <f t="shared" si="12"/>
        <v>76.747551833598067</v>
      </c>
      <c r="M32" s="50">
        <f t="shared" si="12"/>
        <v>85.297958777457879</v>
      </c>
      <c r="N32" s="50">
        <f t="shared" si="12"/>
        <v>108.25982963815787</v>
      </c>
      <c r="O32" s="50">
        <f t="shared" si="12"/>
        <v>153.17601138730458</v>
      </c>
      <c r="P32" s="50">
        <f t="shared" si="12"/>
        <v>143.63979548265843</v>
      </c>
      <c r="Q32" s="50">
        <f t="shared" si="12"/>
        <v>128.49588098665768</v>
      </c>
      <c r="R32" s="50">
        <f t="shared" si="12"/>
        <v>126.03620618235634</v>
      </c>
      <c r="S32" s="50">
        <f t="shared" si="12"/>
        <v>83.070144766725235</v>
      </c>
      <c r="T32" s="50">
        <f t="shared" si="12"/>
        <v>68.010329379495545</v>
      </c>
      <c r="U32" s="50">
        <f t="shared" si="12"/>
        <v>69.481061204742431</v>
      </c>
      <c r="V32" s="50">
        <f t="shared" si="12"/>
        <v>61.015934692261041</v>
      </c>
      <c r="W32" s="50">
        <f t="shared" si="12"/>
        <v>43.824279636887987</v>
      </c>
      <c r="X32" s="50">
        <f t="shared" si="12"/>
        <v>47.595212196436158</v>
      </c>
      <c r="Y32" s="50">
        <f t="shared" si="12"/>
        <v>44.555258364823317</v>
      </c>
      <c r="Z32" s="50">
        <f t="shared" si="12"/>
        <v>41.12491951987716</v>
      </c>
      <c r="AA32" s="50">
        <f t="shared" si="12"/>
        <v>41.849098806649948</v>
      </c>
      <c r="AB32" s="50">
        <f>SUM(AB33:AB36)</f>
        <v>24.650008230852372</v>
      </c>
      <c r="AC32" s="50">
        <f>SUM(AC33:AC36)</f>
        <v>27.037659067065395</v>
      </c>
      <c r="AD32" s="50">
        <f t="shared" ref="AD32:AK32" si="13">SUM(AD33:AD36)</f>
        <v>23.49070589395857</v>
      </c>
      <c r="AE32" s="50">
        <f t="shared" si="13"/>
        <v>31.974186260019533</v>
      </c>
      <c r="AF32" s="50">
        <f t="shared" si="13"/>
        <v>30.755385589257823</v>
      </c>
      <c r="AG32" s="50">
        <f t="shared" si="13"/>
        <v>34.162086124035525</v>
      </c>
      <c r="AH32" s="50">
        <f t="shared" si="13"/>
        <v>35.981826672200704</v>
      </c>
      <c r="AI32" s="50">
        <f t="shared" si="13"/>
        <v>34.671125322561089</v>
      </c>
      <c r="AJ32" s="50">
        <f t="shared" si="13"/>
        <v>14.513963945614936</v>
      </c>
      <c r="AK32" s="50">
        <f t="shared" si="13"/>
        <v>14.513963945614936</v>
      </c>
      <c r="AL32" s="9">
        <f>AK32/$AK$47</f>
        <v>4.601120132791672E-4</v>
      </c>
      <c r="AM32" s="9">
        <f>(AK32-B32)/B32</f>
        <v>-0.84815868164062524</v>
      </c>
      <c r="AN32" s="6"/>
      <c r="AO32" s="11">
        <f>(AK32-AJ32)/AJ32</f>
        <v>0</v>
      </c>
      <c r="AP32" s="12">
        <f>AK32-AJ32</f>
        <v>0</v>
      </c>
    </row>
    <row r="33" spans="1:42" outlineLevel="1" x14ac:dyDescent="0.25">
      <c r="A33" s="51" t="s">
        <v>40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15"/>
      <c r="AM33" s="15"/>
      <c r="AN33" s="6"/>
      <c r="AO33" s="16"/>
      <c r="AP33" s="17"/>
    </row>
    <row r="34" spans="1:42" outlineLevel="1" x14ac:dyDescent="0.25">
      <c r="A34" s="51" t="s">
        <v>41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15"/>
      <c r="AM34" s="15"/>
      <c r="AN34" s="6"/>
      <c r="AO34" s="16"/>
      <c r="AP34" s="17"/>
    </row>
    <row r="35" spans="1:42" outlineLevel="1" x14ac:dyDescent="0.25">
      <c r="A35" s="51" t="s">
        <v>42</v>
      </c>
      <c r="B35" s="52">
        <f>#REF!+#REF!</f>
        <v>95.586393100615695</v>
      </c>
      <c r="C35" s="52">
        <f>#REF!+#REF!</f>
        <v>95.701568661959485</v>
      </c>
      <c r="D35" s="52">
        <f>#REF!+#REF!</f>
        <v>96.409777034925</v>
      </c>
      <c r="E35" s="52">
        <f>#REF!+#REF!</f>
        <v>97.146005771354794</v>
      </c>
      <c r="F35" s="52">
        <f>#REF!+#REF!</f>
        <v>97.743558859034948</v>
      </c>
      <c r="G35" s="52">
        <f>#REF!+#REF!</f>
        <v>98.1600335732833</v>
      </c>
      <c r="H35" s="52">
        <f>#REF!+#REF!</f>
        <v>98.185391741055099</v>
      </c>
      <c r="I35" s="52">
        <f>#REF!+#REF!</f>
        <v>82.529457412034816</v>
      </c>
      <c r="J35" s="52">
        <f>#REF!+#REF!</f>
        <v>64.743899658318327</v>
      </c>
      <c r="K35" s="52">
        <f>#REF!+#REF!</f>
        <v>71.990219596908574</v>
      </c>
      <c r="L35" s="52">
        <f>#REF!+#REF!</f>
        <v>76.747551833598067</v>
      </c>
      <c r="M35" s="52">
        <f>#REF!+#REF!</f>
        <v>85.297958777457879</v>
      </c>
      <c r="N35" s="52">
        <f>#REF!+#REF!</f>
        <v>108.25982963815787</v>
      </c>
      <c r="O35" s="52">
        <f>#REF!+#REF!</f>
        <v>153.17601138730458</v>
      </c>
      <c r="P35" s="52">
        <f>#REF!+#REF!</f>
        <v>143.63979548265843</v>
      </c>
      <c r="Q35" s="52">
        <f>#REF!+#REF!</f>
        <v>128.49588098665768</v>
      </c>
      <c r="R35" s="52">
        <f>#REF!+#REF!</f>
        <v>126.03620618235634</v>
      </c>
      <c r="S35" s="52">
        <f>#REF!+#REF!</f>
        <v>83.070144766725235</v>
      </c>
      <c r="T35" s="52">
        <f>#REF!+#REF!</f>
        <v>68.010329379495545</v>
      </c>
      <c r="U35" s="52">
        <f>#REF!+#REF!</f>
        <v>69.481061204742431</v>
      </c>
      <c r="V35" s="52">
        <f>#REF!+#REF!</f>
        <v>61.015934692261041</v>
      </c>
      <c r="W35" s="52">
        <f>#REF!+#REF!</f>
        <v>43.824279636887987</v>
      </c>
      <c r="X35" s="52">
        <f>#REF!+#REF!</f>
        <v>47.595212196436158</v>
      </c>
      <c r="Y35" s="52">
        <f>#REF!+#REF!</f>
        <v>44.555258364823317</v>
      </c>
      <c r="Z35" s="52">
        <f>#REF!+#REF!</f>
        <v>41.12491951987716</v>
      </c>
      <c r="AA35" s="52">
        <f>#REF!+#REF!</f>
        <v>41.849098806649948</v>
      </c>
      <c r="AB35" s="52">
        <f>#REF!+#REF!</f>
        <v>24.650008230852372</v>
      </c>
      <c r="AC35" s="52">
        <f>#REF!+#REF!</f>
        <v>27.037659067065395</v>
      </c>
      <c r="AD35" s="52">
        <f>#REF!+#REF!</f>
        <v>23.49070589395857</v>
      </c>
      <c r="AE35" s="52">
        <f>#REF!+#REF!</f>
        <v>31.974186260019533</v>
      </c>
      <c r="AF35" s="52">
        <f>#REF!+#REF!</f>
        <v>30.755385589257823</v>
      </c>
      <c r="AG35" s="52">
        <f>#REF!+#REF!</f>
        <v>34.162086124035525</v>
      </c>
      <c r="AH35" s="52">
        <f>#REF!+#REF!</f>
        <v>35.981826672200704</v>
      </c>
      <c r="AI35" s="52">
        <f>#REF!+#REF!</f>
        <v>34.671125322561089</v>
      </c>
      <c r="AJ35" s="52">
        <f>#REF!+#REF!</f>
        <v>14.513963945614936</v>
      </c>
      <c r="AK35" s="52">
        <f>#REF!+#REF!</f>
        <v>14.513963945614936</v>
      </c>
      <c r="AL35" s="15">
        <f>AK35/$AK$47</f>
        <v>4.601120132791672E-4</v>
      </c>
      <c r="AM35" s="15">
        <f>(AK35-B35)/B35</f>
        <v>-0.84815868164062524</v>
      </c>
      <c r="AN35" s="6"/>
      <c r="AO35" s="16">
        <f>(AK35-AJ35)/AJ35</f>
        <v>0</v>
      </c>
      <c r="AP35" s="17">
        <f>AK35-AJ35</f>
        <v>0</v>
      </c>
    </row>
    <row r="36" spans="1:42" outlineLevel="1" x14ac:dyDescent="0.25">
      <c r="A36" s="51" t="s">
        <v>43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15"/>
      <c r="AM36" s="15"/>
      <c r="AN36" s="6"/>
      <c r="AO36" s="16"/>
      <c r="AP36" s="17"/>
    </row>
    <row r="37" spans="1:42" x14ac:dyDescent="0.25">
      <c r="A37" s="53" t="s">
        <v>44</v>
      </c>
      <c r="B37" s="50">
        <f>SUM(B38:B45)</f>
        <v>2042.6389278181821</v>
      </c>
      <c r="C37" s="50">
        <f t="shared" ref="C37:AK37" si="14">SUM(C38:C45)</f>
        <v>1802.7631229410299</v>
      </c>
      <c r="D37" s="50">
        <f t="shared" si="14"/>
        <v>1783.1730333096584</v>
      </c>
      <c r="E37" s="50">
        <f t="shared" si="14"/>
        <v>1949.1175242286804</v>
      </c>
      <c r="F37" s="50">
        <f t="shared" si="14"/>
        <v>1778.1279090041687</v>
      </c>
      <c r="G37" s="50">
        <f t="shared" si="14"/>
        <v>2578.077160524625</v>
      </c>
      <c r="H37" s="50">
        <f t="shared" si="14"/>
        <v>2614.4314660593659</v>
      </c>
      <c r="I37" s="50">
        <f t="shared" si="14"/>
        <v>2129.3464782237666</v>
      </c>
      <c r="J37" s="50">
        <f t="shared" si="14"/>
        <v>2046.202796317659</v>
      </c>
      <c r="K37" s="50">
        <f t="shared" si="14"/>
        <v>1604.7813937786559</v>
      </c>
      <c r="L37" s="50">
        <f t="shared" si="14"/>
        <v>2210.8262321883412</v>
      </c>
      <c r="M37" s="50">
        <f t="shared" si="14"/>
        <v>3921.0525293793789</v>
      </c>
      <c r="N37" s="50">
        <f t="shared" si="14"/>
        <v>3622.4322593695915</v>
      </c>
      <c r="O37" s="50">
        <f t="shared" si="14"/>
        <v>3389.5601485551983</v>
      </c>
      <c r="P37" s="50">
        <f t="shared" si="14"/>
        <v>2427.8963418372587</v>
      </c>
      <c r="Q37" s="50">
        <f t="shared" si="14"/>
        <v>2150.079057007822</v>
      </c>
      <c r="R37" s="50">
        <f t="shared" si="14"/>
        <v>428.44583706640674</v>
      </c>
      <c r="S37" s="50">
        <f t="shared" si="14"/>
        <v>75.057798465458063</v>
      </c>
      <c r="T37" s="50">
        <f t="shared" si="14"/>
        <v>-771.81487857330762</v>
      </c>
      <c r="U37" s="50">
        <f t="shared" si="14"/>
        <v>-850.20165496966183</v>
      </c>
      <c r="V37" s="50">
        <f t="shared" si="14"/>
        <v>-52.289845876721756</v>
      </c>
      <c r="W37" s="50">
        <f t="shared" si="14"/>
        <v>-529.03101797575823</v>
      </c>
      <c r="X37" s="50">
        <f t="shared" si="14"/>
        <v>-940.58935263987632</v>
      </c>
      <c r="Y37" s="50">
        <f t="shared" si="14"/>
        <v>-725.09440107896262</v>
      </c>
      <c r="Z37" s="50">
        <f t="shared" si="14"/>
        <v>-910.59566228683707</v>
      </c>
      <c r="AA37" s="50">
        <f t="shared" si="14"/>
        <v>-785.43542332101049</v>
      </c>
      <c r="AB37" s="50">
        <f t="shared" si="14"/>
        <v>-1010.6454591449733</v>
      </c>
      <c r="AC37" s="50">
        <f t="shared" si="14"/>
        <v>-55.790053338763641</v>
      </c>
      <c r="AD37" s="50">
        <f t="shared" si="14"/>
        <v>-804.09845792646024</v>
      </c>
      <c r="AE37" s="50">
        <f t="shared" si="14"/>
        <v>-868.54592638837084</v>
      </c>
      <c r="AF37" s="50">
        <f t="shared" si="14"/>
        <v>-523.01796862549986</v>
      </c>
      <c r="AG37" s="50">
        <f t="shared" si="14"/>
        <v>-908.1960278769584</v>
      </c>
      <c r="AH37" s="50">
        <f t="shared" si="14"/>
        <v>-1338.9355613864013</v>
      </c>
      <c r="AI37" s="50">
        <f t="shared" si="14"/>
        <v>-934.86120631755625</v>
      </c>
      <c r="AJ37" s="50">
        <f t="shared" si="14"/>
        <v>-1321.6754749417896</v>
      </c>
      <c r="AK37" s="50">
        <f t="shared" si="14"/>
        <v>-121.93192254039286</v>
      </c>
      <c r="AL37" s="9">
        <f t="shared" ref="AL37:AL44" si="15">AK37/$AK$48</f>
        <v>-3.880403887006432E-3</v>
      </c>
      <c r="AM37" s="9">
        <f t="shared" ref="AM37:AM44" si="16">(AK37-B37)/B37</f>
        <v>-1.0596933314448445</v>
      </c>
      <c r="AN37" s="56"/>
      <c r="AO37" s="11">
        <f t="shared" ref="AO37:AO44" si="17">(AK37-AJ37)/AJ37</f>
        <v>-0.90774443132814953</v>
      </c>
      <c r="AP37" s="12">
        <f t="shared" ref="AP37:AP44" si="18">AK37-AJ37</f>
        <v>1199.7435524013968</v>
      </c>
    </row>
    <row r="38" spans="1:42" outlineLevel="1" x14ac:dyDescent="0.25">
      <c r="A38" s="51" t="s">
        <v>45</v>
      </c>
      <c r="B38" s="52">
        <v>-1656.0252825919085</v>
      </c>
      <c r="C38" s="52">
        <v>-1986.5241993923441</v>
      </c>
      <c r="D38" s="52">
        <v>-1288.0147237417739</v>
      </c>
      <c r="E38" s="52">
        <v>-1447.8367195320943</v>
      </c>
      <c r="F38" s="52">
        <v>-1370.1616606641096</v>
      </c>
      <c r="G38" s="52">
        <v>-1155.3598081474438</v>
      </c>
      <c r="H38" s="52">
        <v>-703.71605750938443</v>
      </c>
      <c r="I38" s="52">
        <v>-1246.3376725922381</v>
      </c>
      <c r="J38" s="52">
        <v>-962.28074878084976</v>
      </c>
      <c r="K38" s="52">
        <v>-1166.540405278814</v>
      </c>
      <c r="L38" s="52">
        <v>-225.71267622898176</v>
      </c>
      <c r="M38" s="52">
        <v>11.398549963460937</v>
      </c>
      <c r="N38" s="52">
        <v>-157.31772583666861</v>
      </c>
      <c r="O38" s="52">
        <v>-1035.6023706689348</v>
      </c>
      <c r="P38" s="52">
        <v>-1831.4890207912717</v>
      </c>
      <c r="Q38" s="52">
        <v>-1588.3742192134898</v>
      </c>
      <c r="R38" s="52">
        <v>-2869.3159860868809</v>
      </c>
      <c r="S38" s="52">
        <v>-3077.9559938850666</v>
      </c>
      <c r="T38" s="52">
        <v>-4757.8019518378378</v>
      </c>
      <c r="U38" s="52">
        <v>-4243.8596157290094</v>
      </c>
      <c r="V38" s="52">
        <v>-3962.1557426487184</v>
      </c>
      <c r="W38" s="52">
        <v>-4574.0191617189503</v>
      </c>
      <c r="X38" s="52">
        <v>-4195.9293341659413</v>
      </c>
      <c r="Y38" s="52">
        <v>-4267.8739504744881</v>
      </c>
      <c r="Z38" s="52">
        <v>-4184.6574147463471</v>
      </c>
      <c r="AA38" s="52">
        <v>-4401.8456261947276</v>
      </c>
      <c r="AB38" s="52">
        <v>-4120.2762312967043</v>
      </c>
      <c r="AC38" s="52">
        <v>-3778.5310393161471</v>
      </c>
      <c r="AD38" s="52">
        <v>-3763.2071873294135</v>
      </c>
      <c r="AE38" s="52">
        <v>-3603.7123602351162</v>
      </c>
      <c r="AF38" s="52">
        <v>-3475.9316012544018</v>
      </c>
      <c r="AG38" s="52">
        <v>-2786.021081272037</v>
      </c>
      <c r="AH38" s="52">
        <v>-2979.0493347111865</v>
      </c>
      <c r="AI38" s="52">
        <v>-2830.7611854339993</v>
      </c>
      <c r="AJ38" s="52">
        <v>-2853.9921841385803</v>
      </c>
      <c r="AK38" s="52">
        <v>-1439.7090677450146</v>
      </c>
      <c r="AL38" s="15">
        <f t="shared" si="15"/>
        <v>-4.5817801821220763E-2</v>
      </c>
      <c r="AM38" s="15">
        <f t="shared" si="16"/>
        <v>-0.13062373933586879</v>
      </c>
      <c r="AN38" s="57"/>
      <c r="AO38" s="16">
        <f t="shared" si="17"/>
        <v>-0.49554554642918142</v>
      </c>
      <c r="AP38" s="17">
        <f t="shared" si="18"/>
        <v>1414.2831163935657</v>
      </c>
    </row>
    <row r="39" spans="1:42" outlineLevel="1" x14ac:dyDescent="0.25">
      <c r="A39" s="51" t="s">
        <v>46</v>
      </c>
      <c r="B39" s="52">
        <v>-48.151917701544747</v>
      </c>
      <c r="C39" s="52">
        <v>-48.668614296032118</v>
      </c>
      <c r="D39" s="52">
        <v>-49.549551750239161</v>
      </c>
      <c r="E39" s="52">
        <v>-45.897341112594184</v>
      </c>
      <c r="F39" s="52">
        <v>-48.79477014035092</v>
      </c>
      <c r="G39" s="52">
        <v>-44.744031020531054</v>
      </c>
      <c r="H39" s="52">
        <v>-49.032854326509579</v>
      </c>
      <c r="I39" s="52">
        <v>-46.088526901395916</v>
      </c>
      <c r="J39" s="52">
        <v>-44.213573949966047</v>
      </c>
      <c r="K39" s="52">
        <v>-39.226555774299271</v>
      </c>
      <c r="L39" s="52">
        <v>1.2951910546624874</v>
      </c>
      <c r="M39" s="52">
        <v>166.2405258171957</v>
      </c>
      <c r="N39" s="52">
        <v>186.02264834676268</v>
      </c>
      <c r="O39" s="52">
        <v>106.87293789324372</v>
      </c>
      <c r="P39" s="52">
        <v>100.00476158488699</v>
      </c>
      <c r="Q39" s="52">
        <v>42.651768541193448</v>
      </c>
      <c r="R39" s="52">
        <v>-27.423000997605399</v>
      </c>
      <c r="S39" s="52">
        <v>-9.6074119159693439</v>
      </c>
      <c r="T39" s="52">
        <v>82.502587772276129</v>
      </c>
      <c r="U39" s="52">
        <v>-13.078233985046193</v>
      </c>
      <c r="V39" s="52">
        <v>-113.18124274645022</v>
      </c>
      <c r="W39" s="52">
        <v>-69.106184759355429</v>
      </c>
      <c r="X39" s="52">
        <v>13.314710702739962</v>
      </c>
      <c r="Y39" s="52">
        <v>-4.8490471485403148</v>
      </c>
      <c r="Z39" s="52">
        <v>-51.20448324374712</v>
      </c>
      <c r="AA39" s="52">
        <v>-71.340204264218912</v>
      </c>
      <c r="AB39" s="52">
        <v>-92.590080754382328</v>
      </c>
      <c r="AC39" s="52">
        <v>-92.018764597696517</v>
      </c>
      <c r="AD39" s="52">
        <v>-154.82155279818156</v>
      </c>
      <c r="AE39" s="52">
        <v>-142.3913962395535</v>
      </c>
      <c r="AF39" s="52">
        <v>-125.2122639319619</v>
      </c>
      <c r="AG39" s="52">
        <v>-101.30859364813467</v>
      </c>
      <c r="AH39" s="52">
        <v>-83.40594412857952</v>
      </c>
      <c r="AI39" s="52">
        <v>81.614482463675614</v>
      </c>
      <c r="AJ39" s="52">
        <v>10.568653925985052</v>
      </c>
      <c r="AK39" s="52">
        <v>-60.539220130806996</v>
      </c>
      <c r="AL39" s="15">
        <f t="shared" si="15"/>
        <v>-1.9266211851461602E-3</v>
      </c>
      <c r="AM39" s="15">
        <f t="shared" si="16"/>
        <v>0.25725460211244827</v>
      </c>
      <c r="AN39" s="57"/>
      <c r="AO39" s="16">
        <f t="shared" si="17"/>
        <v>-6.7281864421693065</v>
      </c>
      <c r="AP39" s="17">
        <f t="shared" si="18"/>
        <v>-71.107874056792042</v>
      </c>
    </row>
    <row r="40" spans="1:42" outlineLevel="1" x14ac:dyDescent="0.25">
      <c r="A40" s="51" t="s">
        <v>47</v>
      </c>
      <c r="B40" s="52">
        <v>2259.4436446781465</v>
      </c>
      <c r="C40" s="52">
        <v>2484.5180111526179</v>
      </c>
      <c r="D40" s="52">
        <v>1991.6703551008188</v>
      </c>
      <c r="E40" s="52">
        <v>1836.826492858931</v>
      </c>
      <c r="F40" s="52">
        <v>1785.0188355452374</v>
      </c>
      <c r="G40" s="52">
        <v>2027.32953355012</v>
      </c>
      <c r="H40" s="52">
        <v>1814.4555076446077</v>
      </c>
      <c r="I40" s="52">
        <v>2069.7392159221645</v>
      </c>
      <c r="J40" s="52">
        <v>2006.292219002037</v>
      </c>
      <c r="K40" s="52">
        <v>1905.8637499212282</v>
      </c>
      <c r="L40" s="52">
        <v>1608.5648998276324</v>
      </c>
      <c r="M40" s="52">
        <v>1575.8329645261497</v>
      </c>
      <c r="N40" s="52">
        <v>1969.6820127761005</v>
      </c>
      <c r="O40" s="52">
        <v>1897.7011042365621</v>
      </c>
      <c r="P40" s="52">
        <v>1822.4047483796721</v>
      </c>
      <c r="Q40" s="52">
        <v>1618.2146489517763</v>
      </c>
      <c r="R40" s="52">
        <v>1453.5765877400231</v>
      </c>
      <c r="S40" s="52">
        <v>1535.5464845154493</v>
      </c>
      <c r="T40" s="52">
        <v>1743.768247939222</v>
      </c>
      <c r="U40" s="52">
        <v>1575.4665656081143</v>
      </c>
      <c r="V40" s="52">
        <v>1217.4930522946563</v>
      </c>
      <c r="W40" s="52">
        <v>1385.4553171959997</v>
      </c>
      <c r="X40" s="52">
        <v>1409.1795333029781</v>
      </c>
      <c r="Y40" s="52">
        <v>1449.4378495231776</v>
      </c>
      <c r="Z40" s="52">
        <v>1266.2758531648867</v>
      </c>
      <c r="AA40" s="52">
        <v>1403.9982468316271</v>
      </c>
      <c r="AB40" s="52">
        <v>1202.6426393031595</v>
      </c>
      <c r="AC40" s="52">
        <v>1049.6475579207979</v>
      </c>
      <c r="AD40" s="52">
        <v>1167.6248551934384</v>
      </c>
      <c r="AE40" s="52">
        <v>1263.9877331447876</v>
      </c>
      <c r="AF40" s="52">
        <v>1278.122932695705</v>
      </c>
      <c r="AG40" s="52">
        <v>1117.8151203045691</v>
      </c>
      <c r="AH40" s="52">
        <v>1144.1472180400228</v>
      </c>
      <c r="AI40" s="52">
        <v>1141.3899980762219</v>
      </c>
      <c r="AJ40" s="52">
        <v>1095.7417139027734</v>
      </c>
      <c r="AK40" s="52">
        <v>1382.3891874072287</v>
      </c>
      <c r="AL40" s="15">
        <f t="shared" si="15"/>
        <v>4.3993634024704603E-2</v>
      </c>
      <c r="AM40" s="15">
        <f t="shared" si="16"/>
        <v>-0.38817275187930278</v>
      </c>
      <c r="AN40" s="57"/>
      <c r="AO40" s="16">
        <f t="shared" si="17"/>
        <v>0.2616013152255422</v>
      </c>
      <c r="AP40" s="17">
        <f t="shared" si="18"/>
        <v>286.64747350445532</v>
      </c>
    </row>
    <row r="41" spans="1:42" outlineLevel="1" x14ac:dyDescent="0.25">
      <c r="A41" s="51" t="s">
        <v>48</v>
      </c>
      <c r="B41" s="52">
        <v>1841.1828212541536</v>
      </c>
      <c r="C41" s="52">
        <v>1711.2078975089933</v>
      </c>
      <c r="D41" s="52">
        <v>1628.0435472267022</v>
      </c>
      <c r="E41" s="52">
        <v>2139.8487161527778</v>
      </c>
      <c r="F41" s="52">
        <v>1981.3926482857069</v>
      </c>
      <c r="G41" s="52">
        <v>2343.9884986937268</v>
      </c>
      <c r="H41" s="52">
        <v>2218.7247994785512</v>
      </c>
      <c r="I41" s="52">
        <v>2026.3258499258927</v>
      </c>
      <c r="J41" s="52">
        <v>1829.3686387927817</v>
      </c>
      <c r="K41" s="52">
        <v>1828.7609268037527</v>
      </c>
      <c r="L41" s="52">
        <v>1780.700496018979</v>
      </c>
      <c r="M41" s="52">
        <v>3035.868271389621</v>
      </c>
      <c r="N41" s="52">
        <v>2382.6556585623548</v>
      </c>
      <c r="O41" s="52">
        <v>3238.956172747432</v>
      </c>
      <c r="P41" s="52">
        <v>3044.8070017034443</v>
      </c>
      <c r="Q41" s="52">
        <v>2799.3098907022218</v>
      </c>
      <c r="R41" s="52">
        <v>2710.0232484463377</v>
      </c>
      <c r="S41" s="52">
        <v>2467.9282548732117</v>
      </c>
      <c r="T41" s="52">
        <v>2483.9528603249823</v>
      </c>
      <c r="U41" s="52">
        <v>2352.3489188942112</v>
      </c>
      <c r="V41" s="52">
        <v>3414.0523130199967</v>
      </c>
      <c r="W41" s="52">
        <v>3412.0950074783736</v>
      </c>
      <c r="X41" s="52">
        <v>2447.2028964644951</v>
      </c>
      <c r="Y41" s="52">
        <v>2701.2399031276295</v>
      </c>
      <c r="Z41" s="52">
        <v>2757.4150584904678</v>
      </c>
      <c r="AA41" s="52">
        <v>2871.0022427808326</v>
      </c>
      <c r="AB41" s="52">
        <v>2714.5459573977323</v>
      </c>
      <c r="AC41" s="52">
        <v>3528.325155948171</v>
      </c>
      <c r="AD41" s="52">
        <v>2407.0173579015209</v>
      </c>
      <c r="AE41" s="52">
        <v>2369.475726399271</v>
      </c>
      <c r="AF41" s="52">
        <v>2525.7335956753809</v>
      </c>
      <c r="AG41" s="52">
        <v>1736.3810565637305</v>
      </c>
      <c r="AH41" s="52">
        <v>1340.8646727307234</v>
      </c>
      <c r="AI41" s="52">
        <v>1478.0783498830478</v>
      </c>
      <c r="AJ41" s="52">
        <v>1107.8953541910666</v>
      </c>
      <c r="AK41" s="52">
        <v>1420.4721512650904</v>
      </c>
      <c r="AL41" s="15">
        <f t="shared" si="15"/>
        <v>4.5205599504325553E-2</v>
      </c>
      <c r="AM41" s="15">
        <f t="shared" si="16"/>
        <v>-0.22850021471658577</v>
      </c>
      <c r="AN41" s="57"/>
      <c r="AO41" s="16">
        <f t="shared" si="17"/>
        <v>0.28213566912396043</v>
      </c>
      <c r="AP41" s="17">
        <f t="shared" si="18"/>
        <v>312.57679707402372</v>
      </c>
    </row>
    <row r="42" spans="1:42" outlineLevel="1" x14ac:dyDescent="0.25">
      <c r="A42" s="51" t="s">
        <v>49</v>
      </c>
      <c r="B42" s="52">
        <v>58.931441951488679</v>
      </c>
      <c r="C42" s="52">
        <v>51.552030460531206</v>
      </c>
      <c r="D42" s="52">
        <v>61.288326323206725</v>
      </c>
      <c r="E42" s="52">
        <v>52.244429112542988</v>
      </c>
      <c r="F42" s="52">
        <v>76.092292834168575</v>
      </c>
      <c r="G42" s="52">
        <v>80.719663360441814</v>
      </c>
      <c r="H42" s="52">
        <v>92.154410876859984</v>
      </c>
      <c r="I42" s="52">
        <v>102.29184499132849</v>
      </c>
      <c r="J42" s="52">
        <v>113.34069731695853</v>
      </c>
      <c r="K42" s="52">
        <v>124.38610822272524</v>
      </c>
      <c r="L42" s="52">
        <v>143.09785041387141</v>
      </c>
      <c r="M42" s="52">
        <v>181.80990047310164</v>
      </c>
      <c r="N42" s="52">
        <v>153.95812768772831</v>
      </c>
      <c r="O42" s="52">
        <v>192.79083127647331</v>
      </c>
      <c r="P42" s="52">
        <v>252.20139652351128</v>
      </c>
      <c r="Q42" s="52">
        <v>224.91857146109604</v>
      </c>
      <c r="R42" s="52">
        <v>395.14319465999409</v>
      </c>
      <c r="S42" s="52">
        <v>355.21571282832775</v>
      </c>
      <c r="T42" s="52">
        <v>307.72303242393565</v>
      </c>
      <c r="U42" s="52">
        <v>170.93871636326324</v>
      </c>
      <c r="V42" s="52">
        <v>217.56499327186745</v>
      </c>
      <c r="W42" s="52">
        <v>53.252097087232386</v>
      </c>
      <c r="X42" s="52">
        <v>48.877760928615132</v>
      </c>
      <c r="Y42" s="52">
        <v>57.506867726286387</v>
      </c>
      <c r="Z42" s="52">
        <v>51.225491971140968</v>
      </c>
      <c r="AA42" s="52">
        <v>147.62633318578926</v>
      </c>
      <c r="AB42" s="52">
        <v>64.901360634687023</v>
      </c>
      <c r="AC42" s="52">
        <v>90.166154758426458</v>
      </c>
      <c r="AD42" s="52">
        <v>351.20767271318078</v>
      </c>
      <c r="AE42" s="52">
        <v>103.35594829711307</v>
      </c>
      <c r="AF42" s="52">
        <v>90.890460741431156</v>
      </c>
      <c r="AG42" s="52">
        <v>91.717538943223602</v>
      </c>
      <c r="AH42" s="52">
        <v>172.05733391068819</v>
      </c>
      <c r="AI42" s="52">
        <v>124.5986967964876</v>
      </c>
      <c r="AJ42" s="52">
        <v>99.891729068212712</v>
      </c>
      <c r="AK42" s="52">
        <v>144.54990902367189</v>
      </c>
      <c r="AL42" s="15">
        <f t="shared" si="15"/>
        <v>4.6002065509634441E-3</v>
      </c>
      <c r="AM42" s="15">
        <f t="shared" si="16"/>
        <v>1.4528486701999048</v>
      </c>
      <c r="AN42" s="57"/>
      <c r="AO42" s="16">
        <f t="shared" si="17"/>
        <v>0.44706584190732751</v>
      </c>
      <c r="AP42" s="17">
        <f t="shared" si="18"/>
        <v>44.658179955459175</v>
      </c>
    </row>
    <row r="43" spans="1:42" outlineLevel="1" x14ac:dyDescent="0.25">
      <c r="A43" s="51" t="s">
        <v>50</v>
      </c>
      <c r="B43" s="52">
        <v>0.30168747346007596</v>
      </c>
      <c r="C43" s="52">
        <v>0.31056080679341003</v>
      </c>
      <c r="D43" s="52">
        <v>0.3194341401267442</v>
      </c>
      <c r="E43" s="52">
        <v>0.32830747346007833</v>
      </c>
      <c r="F43" s="52">
        <v>0.3371808067934125</v>
      </c>
      <c r="G43" s="52">
        <v>9.1772692723216966</v>
      </c>
      <c r="H43" s="52">
        <v>9.4458892723217218</v>
      </c>
      <c r="I43" s="52">
        <v>9.7145092723217452</v>
      </c>
      <c r="J43" s="52">
        <v>9.9831292723217704</v>
      </c>
      <c r="K43" s="52">
        <v>10.251749272321796</v>
      </c>
      <c r="L43" s="52">
        <v>17.317382887825925</v>
      </c>
      <c r="M43" s="52">
        <v>17.967724887825984</v>
      </c>
      <c r="N43" s="52">
        <v>2.6881506666669113</v>
      </c>
      <c r="O43" s="52">
        <v>112.39268647033089</v>
      </c>
      <c r="P43" s="52">
        <v>60.767085235165858</v>
      </c>
      <c r="Q43" s="52">
        <v>117.23268647033133</v>
      </c>
      <c r="R43" s="52">
        <v>10.754817333334312</v>
      </c>
      <c r="S43" s="52">
        <v>10.754817333334312</v>
      </c>
      <c r="T43" s="52">
        <v>65.607085235166295</v>
      </c>
      <c r="U43" s="52">
        <v>12.368150666667791</v>
      </c>
      <c r="V43" s="52">
        <v>12.359277333334456</v>
      </c>
      <c r="W43" s="52">
        <v>12.350404000001122</v>
      </c>
      <c r="X43" s="52">
        <v>12.341530666667788</v>
      </c>
      <c r="Y43" s="52">
        <v>12.332657333334453</v>
      </c>
      <c r="Z43" s="52">
        <v>12.323784000001119</v>
      </c>
      <c r="AA43" s="52">
        <v>12.055164000001096</v>
      </c>
      <c r="AB43" s="52">
        <v>11.786544000001072</v>
      </c>
      <c r="AC43" s="52">
        <v>11.517924000001047</v>
      </c>
      <c r="AD43" s="52">
        <v>11.249304000001022</v>
      </c>
      <c r="AE43" s="52">
        <v>10.980684000000998</v>
      </c>
      <c r="AF43" s="52">
        <v>10.330342000000938</v>
      </c>
      <c r="AG43" s="52">
        <v>9.6800000000008808</v>
      </c>
      <c r="AH43" s="52">
        <v>9.6800000000008808</v>
      </c>
      <c r="AI43" s="52">
        <v>6.4533333333339202</v>
      </c>
      <c r="AJ43" s="52">
        <v>4.8400000000004404</v>
      </c>
      <c r="AK43" s="52">
        <v>17.39414300131644</v>
      </c>
      <c r="AL43" s="15">
        <f t="shared" si="15"/>
        <v>5.5355725315570483E-4</v>
      </c>
      <c r="AM43" s="15">
        <f t="shared" si="16"/>
        <v>56.656165838845496</v>
      </c>
      <c r="AN43" s="57"/>
      <c r="AO43" s="16">
        <f t="shared" si="17"/>
        <v>2.5938311986187723</v>
      </c>
      <c r="AP43" s="17">
        <f t="shared" si="18"/>
        <v>12.554143001316</v>
      </c>
    </row>
    <row r="44" spans="1:42" outlineLevel="1" x14ac:dyDescent="0.25">
      <c r="A44" s="51" t="s">
        <v>51</v>
      </c>
      <c r="B44" s="52">
        <v>-413.04346724561293</v>
      </c>
      <c r="C44" s="52">
        <v>-409.63256329952986</v>
      </c>
      <c r="D44" s="52">
        <v>-560.58435398918311</v>
      </c>
      <c r="E44" s="52">
        <v>-586.39636072434257</v>
      </c>
      <c r="F44" s="52">
        <v>-645.75661766327653</v>
      </c>
      <c r="G44" s="52">
        <v>-683.03396518401007</v>
      </c>
      <c r="H44" s="52">
        <v>-767.60022937708061</v>
      </c>
      <c r="I44" s="52">
        <v>-786.29874239430683</v>
      </c>
      <c r="J44" s="52">
        <v>-906.28756533562387</v>
      </c>
      <c r="K44" s="52">
        <v>-1058.7141793882588</v>
      </c>
      <c r="L44" s="52">
        <v>-1114.4369117856486</v>
      </c>
      <c r="M44" s="52">
        <v>-1068.0654076779765</v>
      </c>
      <c r="N44" s="52">
        <v>-915.25661283335285</v>
      </c>
      <c r="O44" s="52">
        <v>-1123.5512133999086</v>
      </c>
      <c r="P44" s="52">
        <v>-1020.79963079815</v>
      </c>
      <c r="Q44" s="52">
        <v>-1063.8742899053073</v>
      </c>
      <c r="R44" s="52">
        <v>-1244.3130240287962</v>
      </c>
      <c r="S44" s="52">
        <v>-1206.824065283829</v>
      </c>
      <c r="T44" s="52">
        <v>-697.56674043105249</v>
      </c>
      <c r="U44" s="52">
        <v>-704.38615678786232</v>
      </c>
      <c r="V44" s="52">
        <v>-838.42249640140847</v>
      </c>
      <c r="W44" s="52">
        <v>-749.05849725905921</v>
      </c>
      <c r="X44" s="52">
        <v>-675.57645053943099</v>
      </c>
      <c r="Y44" s="52">
        <v>-672.8886811663624</v>
      </c>
      <c r="Z44" s="52">
        <v>-761.97395192324007</v>
      </c>
      <c r="AA44" s="52">
        <v>-746.93157966031367</v>
      </c>
      <c r="AB44" s="52">
        <v>-791.65564842946696</v>
      </c>
      <c r="AC44" s="52">
        <v>-864.89704205231646</v>
      </c>
      <c r="AD44" s="52">
        <v>-823.16890760700608</v>
      </c>
      <c r="AE44" s="52">
        <v>-870.24226175487354</v>
      </c>
      <c r="AF44" s="52">
        <v>-826.9514345516543</v>
      </c>
      <c r="AG44" s="52">
        <v>-976.46006876831063</v>
      </c>
      <c r="AH44" s="52">
        <v>-943.2295072280707</v>
      </c>
      <c r="AI44" s="52">
        <v>-936.23488143632403</v>
      </c>
      <c r="AJ44" s="52">
        <v>-786.62074189124758</v>
      </c>
      <c r="AK44" s="52">
        <v>-1586.4890253618787</v>
      </c>
      <c r="AL44" s="15">
        <f t="shared" si="15"/>
        <v>-5.048897821378881E-2</v>
      </c>
      <c r="AM44" s="15">
        <f t="shared" si="16"/>
        <v>2.8409735322565601</v>
      </c>
      <c r="AN44" s="57"/>
      <c r="AO44" s="16">
        <f t="shared" si="17"/>
        <v>1.0168410783925337</v>
      </c>
      <c r="AP44" s="17">
        <f t="shared" si="18"/>
        <v>-799.86828347063113</v>
      </c>
    </row>
    <row r="45" spans="1:42" outlineLevel="1" x14ac:dyDescent="0.25">
      <c r="A45" s="51" t="s">
        <v>52</v>
      </c>
      <c r="B45" s="52" t="s">
        <v>56</v>
      </c>
      <c r="C45" s="52" t="s">
        <v>56</v>
      </c>
      <c r="D45" s="52" t="s">
        <v>56</v>
      </c>
      <c r="E45" s="52" t="s">
        <v>56</v>
      </c>
      <c r="F45" s="52" t="s">
        <v>56</v>
      </c>
      <c r="G45" s="52" t="s">
        <v>56</v>
      </c>
      <c r="H45" s="52" t="s">
        <v>56</v>
      </c>
      <c r="I45" s="52" t="s">
        <v>56</v>
      </c>
      <c r="J45" s="52" t="s">
        <v>56</v>
      </c>
      <c r="K45" s="52" t="s">
        <v>56</v>
      </c>
      <c r="L45" s="52" t="s">
        <v>56</v>
      </c>
      <c r="M45" s="52" t="s">
        <v>56</v>
      </c>
      <c r="N45" s="52" t="s">
        <v>56</v>
      </c>
      <c r="O45" s="52" t="s">
        <v>56</v>
      </c>
      <c r="P45" s="52" t="s">
        <v>56</v>
      </c>
      <c r="Q45" s="52" t="s">
        <v>56</v>
      </c>
      <c r="R45" s="52" t="s">
        <v>56</v>
      </c>
      <c r="S45" s="52" t="s">
        <v>56</v>
      </c>
      <c r="T45" s="52" t="s">
        <v>56</v>
      </c>
      <c r="U45" s="52" t="s">
        <v>56</v>
      </c>
      <c r="V45" s="52" t="s">
        <v>56</v>
      </c>
      <c r="W45" s="52" t="s">
        <v>56</v>
      </c>
      <c r="X45" s="52" t="s">
        <v>56</v>
      </c>
      <c r="Y45" s="52" t="s">
        <v>56</v>
      </c>
      <c r="Z45" s="52" t="s">
        <v>56</v>
      </c>
      <c r="AA45" s="52" t="s">
        <v>56</v>
      </c>
      <c r="AB45" s="52" t="s">
        <v>56</v>
      </c>
      <c r="AC45" s="52" t="s">
        <v>56</v>
      </c>
      <c r="AD45" s="52" t="s">
        <v>56</v>
      </c>
      <c r="AE45" s="52" t="s">
        <v>56</v>
      </c>
      <c r="AF45" s="52" t="s">
        <v>56</v>
      </c>
      <c r="AG45" s="52" t="s">
        <v>56</v>
      </c>
      <c r="AH45" s="52" t="s">
        <v>56</v>
      </c>
      <c r="AI45" s="52" t="s">
        <v>56</v>
      </c>
      <c r="AJ45" s="52" t="s">
        <v>56</v>
      </c>
      <c r="AK45" s="52" t="s">
        <v>56</v>
      </c>
      <c r="AL45" s="15"/>
      <c r="AM45" s="51"/>
      <c r="AN45" s="57"/>
      <c r="AO45" s="16"/>
      <c r="AP45" s="17"/>
    </row>
    <row r="46" spans="1:42" x14ac:dyDescent="0.25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32"/>
      <c r="U46" s="58"/>
      <c r="V46" s="58"/>
      <c r="W46" s="58"/>
      <c r="X46" s="58"/>
      <c r="Y46" s="58"/>
      <c r="Z46" s="32"/>
      <c r="AA46" s="32"/>
      <c r="AB46" s="32"/>
      <c r="AC46" s="32"/>
      <c r="AD46" s="32"/>
      <c r="AE46" s="32"/>
      <c r="AF46" s="59"/>
      <c r="AG46" s="59"/>
      <c r="AH46" s="59"/>
      <c r="AI46" s="59"/>
      <c r="AJ46" s="59"/>
      <c r="AK46" s="59"/>
      <c r="AL46" s="28"/>
      <c r="AM46" s="6"/>
      <c r="AN46" s="6"/>
      <c r="AO46" s="29"/>
      <c r="AP46" s="23"/>
    </row>
    <row r="47" spans="1:42" x14ac:dyDescent="0.25">
      <c r="A47" s="60" t="s">
        <v>53</v>
      </c>
      <c r="B47" s="61">
        <f t="shared" ref="B47:AA47" si="19">SUM(B2,B7,B8,B9,B10,B11,B17,B23,B24,B32)</f>
        <v>32944.386408180966</v>
      </c>
      <c r="C47" s="61">
        <f t="shared" si="19"/>
        <v>33674.169179889999</v>
      </c>
      <c r="D47" s="61">
        <f t="shared" si="19"/>
        <v>33495.179875860202</v>
      </c>
      <c r="E47" s="61">
        <f t="shared" si="19"/>
        <v>33716.192953628684</v>
      </c>
      <c r="F47" s="61">
        <f t="shared" si="19"/>
        <v>34837.951590501092</v>
      </c>
      <c r="G47" s="61">
        <f t="shared" si="19"/>
        <v>35852.219058069801</v>
      </c>
      <c r="H47" s="61">
        <f t="shared" si="19"/>
        <v>37468.340524993866</v>
      </c>
      <c r="I47" s="61">
        <f t="shared" si="19"/>
        <v>38803.627760362768</v>
      </c>
      <c r="J47" s="61">
        <f t="shared" si="19"/>
        <v>40707.120540432727</v>
      </c>
      <c r="K47" s="61">
        <f t="shared" si="19"/>
        <v>42438.930337154874</v>
      </c>
      <c r="L47" s="61">
        <f t="shared" si="19"/>
        <v>45248.011209504126</v>
      </c>
      <c r="M47" s="61">
        <f t="shared" si="19"/>
        <v>47606.391894426517</v>
      </c>
      <c r="N47" s="61">
        <f t="shared" si="19"/>
        <v>46079.361878991949</v>
      </c>
      <c r="O47" s="61">
        <f t="shared" si="19"/>
        <v>45681.27414133602</v>
      </c>
      <c r="P47" s="61">
        <f t="shared" si="19"/>
        <v>46164.247400260501</v>
      </c>
      <c r="Q47" s="61">
        <f t="shared" si="19"/>
        <v>48074.576848396879</v>
      </c>
      <c r="R47" s="61">
        <f t="shared" si="19"/>
        <v>47533.563438826954</v>
      </c>
      <c r="S47" s="61">
        <f t="shared" si="19"/>
        <v>47584.283410536475</v>
      </c>
      <c r="T47" s="61">
        <f t="shared" si="19"/>
        <v>47297.704592616865</v>
      </c>
      <c r="U47" s="61">
        <f t="shared" si="19"/>
        <v>42129.351260820316</v>
      </c>
      <c r="V47" s="61">
        <f t="shared" si="19"/>
        <v>41741.638756054999</v>
      </c>
      <c r="W47" s="61">
        <f t="shared" si="19"/>
        <v>38006.457354812672</v>
      </c>
      <c r="X47" s="61">
        <f t="shared" si="19"/>
        <v>38177.81229441434</v>
      </c>
      <c r="Y47" s="61">
        <f t="shared" si="19"/>
        <v>37240.683259319463</v>
      </c>
      <c r="Z47" s="61">
        <f t="shared" si="19"/>
        <v>36808.099550681349</v>
      </c>
      <c r="AA47" s="61">
        <f t="shared" si="19"/>
        <v>38660.027637464831</v>
      </c>
      <c r="AB47" s="61">
        <f>SUM(AB2,AB7,AB8,AB9,AB10,AB11,AB17,AB23,AB24,AB32)</f>
        <v>40311.576658168902</v>
      </c>
      <c r="AC47" s="61">
        <f>SUM(AC2,AC7,AC8,AC9,AC10,AC11,AC17,AC23,AC24,AC32)</f>
        <v>38980.004470239852</v>
      </c>
      <c r="AD47" s="61">
        <f t="shared" ref="AD47:AE47" si="20">SUM(AD2,AD7,AD8,AD9,AD10,AD11,AD17,AD23,AD24,AD32)</f>
        <v>38846.33256578102</v>
      </c>
      <c r="AE47" s="61">
        <f t="shared" si="20"/>
        <v>37138.116303479874</v>
      </c>
      <c r="AF47" s="61">
        <f>SUM(AF2,AF7,AF8,AF9,AF10,AF11,AF17,AF23,AF24,AF32)</f>
        <v>35026.856846883129</v>
      </c>
      <c r="AG47" s="61">
        <f t="shared" ref="AG47:AK47" si="21">SUM(AG2,AG7,AG8,AG9,AG10,AG11,AG17,AG23,AG24,AG32)</f>
        <v>37412.756445180195</v>
      </c>
      <c r="AH47" s="61">
        <f t="shared" si="21"/>
        <v>36613.33773036363</v>
      </c>
      <c r="AI47" s="61">
        <f t="shared" si="21"/>
        <v>33479.548526776773</v>
      </c>
      <c r="AJ47" s="61">
        <f t="shared" si="21"/>
        <v>32748.395035691068</v>
      </c>
      <c r="AK47" s="61">
        <f t="shared" si="21"/>
        <v>31544.414244208769</v>
      </c>
      <c r="AL47" s="9">
        <f>AK47/$AK$47</f>
        <v>1</v>
      </c>
      <c r="AM47" s="9">
        <f>(AK47-B47)/B47</f>
        <v>-4.2495014070881201E-2</v>
      </c>
      <c r="AN47" s="6"/>
      <c r="AO47" s="11">
        <f>(AK47-AJ47)/AJ47</f>
        <v>-3.6764573963705173E-2</v>
      </c>
      <c r="AP47" s="12">
        <f>AK47-AJ47</f>
        <v>-1203.9807914822995</v>
      </c>
    </row>
    <row r="48" spans="1:42" ht="13.5" customHeight="1" x14ac:dyDescent="0.25">
      <c r="A48" s="60" t="s">
        <v>54</v>
      </c>
      <c r="B48" s="61">
        <f>SUM(B2,B7,B8,B9,B10,B11,B17,B23,B24,B32,B37)</f>
        <v>34987.025335999148</v>
      </c>
      <c r="C48" s="61">
        <f t="shared" ref="C48:AK48" si="22">SUM(C2,C7,C8,C9,C10,C11,C17,C23,C24,C32,C37)</f>
        <v>35476.932302831032</v>
      </c>
      <c r="D48" s="61">
        <f t="shared" si="22"/>
        <v>35278.352909169858</v>
      </c>
      <c r="E48" s="61">
        <f t="shared" si="22"/>
        <v>35665.310477857362</v>
      </c>
      <c r="F48" s="61">
        <f t="shared" si="22"/>
        <v>36616.079499505264</v>
      </c>
      <c r="G48" s="61">
        <f t="shared" si="22"/>
        <v>38430.296218594427</v>
      </c>
      <c r="H48" s="61">
        <f t="shared" si="22"/>
        <v>40082.771991053232</v>
      </c>
      <c r="I48" s="61">
        <f t="shared" si="22"/>
        <v>40932.974238586532</v>
      </c>
      <c r="J48" s="61">
        <f t="shared" si="22"/>
        <v>42753.323336750385</v>
      </c>
      <c r="K48" s="61">
        <f t="shared" si="22"/>
        <v>44043.71173093353</v>
      </c>
      <c r="L48" s="61">
        <f t="shared" si="22"/>
        <v>47458.837441692463</v>
      </c>
      <c r="M48" s="61">
        <f t="shared" si="22"/>
        <v>51527.444423805893</v>
      </c>
      <c r="N48" s="61">
        <f t="shared" si="22"/>
        <v>49701.79413836154</v>
      </c>
      <c r="O48" s="61">
        <f t="shared" si="22"/>
        <v>49070.834289891216</v>
      </c>
      <c r="P48" s="61">
        <f t="shared" si="22"/>
        <v>48592.14374209776</v>
      </c>
      <c r="Q48" s="61">
        <f t="shared" si="22"/>
        <v>50224.655905404703</v>
      </c>
      <c r="R48" s="61">
        <f t="shared" si="22"/>
        <v>47962.009275893361</v>
      </c>
      <c r="S48" s="61">
        <f t="shared" si="22"/>
        <v>47659.341209001934</v>
      </c>
      <c r="T48" s="61">
        <f t="shared" si="22"/>
        <v>46525.889714043558</v>
      </c>
      <c r="U48" s="61">
        <f t="shared" si="22"/>
        <v>41279.149605850653</v>
      </c>
      <c r="V48" s="61">
        <f t="shared" si="22"/>
        <v>41689.348910178276</v>
      </c>
      <c r="W48" s="61">
        <f t="shared" si="22"/>
        <v>37477.426336836914</v>
      </c>
      <c r="X48" s="61">
        <f t="shared" si="22"/>
        <v>37237.22294177446</v>
      </c>
      <c r="Y48" s="61">
        <f t="shared" si="22"/>
        <v>36515.588858240502</v>
      </c>
      <c r="Z48" s="61">
        <f t="shared" si="22"/>
        <v>35897.503888394509</v>
      </c>
      <c r="AA48" s="61">
        <f t="shared" si="22"/>
        <v>37874.59221414382</v>
      </c>
      <c r="AB48" s="61">
        <f t="shared" si="22"/>
        <v>39300.931199023929</v>
      </c>
      <c r="AC48" s="61">
        <f t="shared" si="22"/>
        <v>38924.214416901086</v>
      </c>
      <c r="AD48" s="61">
        <f t="shared" si="22"/>
        <v>38042.234107854558</v>
      </c>
      <c r="AE48" s="61">
        <f t="shared" si="22"/>
        <v>36269.570377091506</v>
      </c>
      <c r="AF48" s="61">
        <f t="shared" si="22"/>
        <v>34503.838878257629</v>
      </c>
      <c r="AG48" s="61">
        <f t="shared" si="22"/>
        <v>36504.560417303233</v>
      </c>
      <c r="AH48" s="61">
        <f t="shared" si="22"/>
        <v>35274.402168977227</v>
      </c>
      <c r="AI48" s="61">
        <f t="shared" si="22"/>
        <v>32544.687320459216</v>
      </c>
      <c r="AJ48" s="61">
        <f t="shared" si="22"/>
        <v>31426.719560749279</v>
      </c>
      <c r="AK48" s="61">
        <f t="shared" si="22"/>
        <v>31422.482321668376</v>
      </c>
      <c r="AL48" s="9">
        <f>AK48/$AK$48</f>
        <v>1</v>
      </c>
      <c r="AM48" s="9">
        <f>(AK48-B48)/B48</f>
        <v>-0.10188185420448166</v>
      </c>
      <c r="AN48" s="6"/>
      <c r="AO48" s="11">
        <f>(AK48-AJ48)/AJ48</f>
        <v>-1.3482918803257401E-4</v>
      </c>
      <c r="AP48" s="12">
        <f>AK48-AJ48</f>
        <v>-4.2372390809032368</v>
      </c>
    </row>
    <row r="49" spans="2:42" x14ac:dyDescent="0.25">
      <c r="B49" s="62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M49" s="6"/>
      <c r="AN49" s="6"/>
      <c r="AO49" s="6"/>
      <c r="AP49" s="39"/>
    </row>
    <row r="50" spans="2:42" x14ac:dyDescent="0.25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M50" s="64"/>
    </row>
    <row r="51" spans="2:42" x14ac:dyDescent="0.25">
      <c r="T51" s="32"/>
      <c r="Z51" s="32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2:42" x14ac:dyDescent="0.25"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</row>
    <row r="54" spans="2:42" x14ac:dyDescent="0.25"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</row>
    <row r="55" spans="2:42" x14ac:dyDescent="0.25"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7"/>
      <c r="AN55" s="67"/>
    </row>
    <row r="56" spans="2:42" x14ac:dyDescent="0.25"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7"/>
    </row>
    <row r="57" spans="2:42" x14ac:dyDescent="0.25"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7"/>
      <c r="AP57" s="54"/>
    </row>
    <row r="58" spans="2:42" x14ac:dyDescent="0.25"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7"/>
      <c r="AP58" s="54"/>
    </row>
    <row r="59" spans="2:42" x14ac:dyDescent="0.25"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7"/>
      <c r="AP59" s="54"/>
    </row>
    <row r="60" spans="2:42" x14ac:dyDescent="0.25"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7"/>
      <c r="AP60" s="54"/>
    </row>
    <row r="61" spans="2:42" x14ac:dyDescent="0.25"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7"/>
      <c r="AP61" s="54"/>
    </row>
    <row r="62" spans="2:42" x14ac:dyDescent="0.25"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7"/>
      <c r="AP62" s="54"/>
    </row>
    <row r="63" spans="2:42" x14ac:dyDescent="0.25"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7"/>
      <c r="AO63" s="66"/>
      <c r="AP63" s="54"/>
    </row>
    <row r="64" spans="2:42" x14ac:dyDescent="0.25"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7"/>
      <c r="AP64" s="54"/>
    </row>
    <row r="65" spans="26:42" x14ac:dyDescent="0.25"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7"/>
      <c r="AM65" s="67"/>
      <c r="AP65" s="54"/>
    </row>
    <row r="66" spans="26:42" x14ac:dyDescent="0.25"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P66" s="54"/>
    </row>
    <row r="67" spans="26:42" x14ac:dyDescent="0.25"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P67" s="54"/>
    </row>
    <row r="68" spans="26:42" x14ac:dyDescent="0.25">
      <c r="AP68" s="54"/>
    </row>
    <row r="69" spans="26:42" x14ac:dyDescent="0.25">
      <c r="AP69" s="5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298D-7E0A-4504-8955-DCC195BDB339}">
  <sheetPr>
    <tabColor rgb="FFFF0000"/>
    <outlinePr summaryBelow="0"/>
  </sheetPr>
  <dimension ref="A1:AV64"/>
  <sheetViews>
    <sheetView zoomScale="75" zoomScaleNormal="75" workbookViewId="0">
      <pane ySplit="1" topLeftCell="A2" activePane="bottomLeft" state="frozen"/>
      <selection activeCell="AJ21" sqref="AJ21"/>
      <selection pane="bottomLeft"/>
    </sheetView>
  </sheetViews>
  <sheetFormatPr defaultColWidth="9.28515625" defaultRowHeight="15" outlineLevelRow="1" x14ac:dyDescent="0.25"/>
  <cols>
    <col min="1" max="1" width="41" style="48" customWidth="1"/>
    <col min="2" max="33" width="9.85546875" style="48" bestFit="1" customWidth="1"/>
    <col min="34" max="37" width="9.85546875" style="48" customWidth="1"/>
    <col min="38" max="38" width="11.28515625" style="48" bestFit="1" customWidth="1"/>
    <col min="39" max="39" width="13" style="48" customWidth="1"/>
    <col min="40" max="40" width="9.7109375" style="48" customWidth="1"/>
    <col min="41" max="41" width="11.85546875" style="48" customWidth="1"/>
    <col min="42" max="42" width="9.28515625" style="48" bestFit="1" customWidth="1"/>
    <col min="43" max="43" width="13.5703125" style="48" customWidth="1"/>
    <col min="44" max="16384" width="9.28515625" style="48"/>
  </cols>
  <sheetData>
    <row r="1" spans="1:42" ht="30" x14ac:dyDescent="0.25">
      <c r="A1" s="1" t="s">
        <v>0</v>
      </c>
      <c r="B1" s="44">
        <v>1990</v>
      </c>
      <c r="C1" s="44">
        <v>1991</v>
      </c>
      <c r="D1" s="44">
        <v>1992</v>
      </c>
      <c r="E1" s="44">
        <v>1993</v>
      </c>
      <c r="F1" s="44">
        <v>1994</v>
      </c>
      <c r="G1" s="44">
        <v>1995</v>
      </c>
      <c r="H1" s="44">
        <v>1996</v>
      </c>
      <c r="I1" s="44">
        <v>1997</v>
      </c>
      <c r="J1" s="44">
        <v>1998</v>
      </c>
      <c r="K1" s="44">
        <v>1999</v>
      </c>
      <c r="L1" s="44">
        <v>2000</v>
      </c>
      <c r="M1" s="44">
        <v>2001</v>
      </c>
      <c r="N1" s="44">
        <v>2002</v>
      </c>
      <c r="O1" s="44">
        <v>2003</v>
      </c>
      <c r="P1" s="44">
        <v>2004</v>
      </c>
      <c r="Q1" s="44">
        <v>2005</v>
      </c>
      <c r="R1" s="44">
        <v>2006</v>
      </c>
      <c r="S1" s="44">
        <v>2007</v>
      </c>
      <c r="T1" s="44">
        <v>2008</v>
      </c>
      <c r="U1" s="44">
        <v>2009</v>
      </c>
      <c r="V1" s="44">
        <v>2010</v>
      </c>
      <c r="W1" s="44">
        <v>2011</v>
      </c>
      <c r="X1" s="44">
        <v>2012</v>
      </c>
      <c r="Y1" s="44">
        <v>2013</v>
      </c>
      <c r="Z1" s="44">
        <v>2014</v>
      </c>
      <c r="AA1" s="44">
        <v>2015</v>
      </c>
      <c r="AB1" s="44">
        <v>2016</v>
      </c>
      <c r="AC1" s="44">
        <v>2017</v>
      </c>
      <c r="AD1" s="44">
        <v>2018</v>
      </c>
      <c r="AE1" s="44">
        <v>2019</v>
      </c>
      <c r="AF1" s="44">
        <v>2020</v>
      </c>
      <c r="AG1" s="44">
        <v>2021</v>
      </c>
      <c r="AH1" s="44">
        <v>2022</v>
      </c>
      <c r="AI1" s="44">
        <v>2023</v>
      </c>
      <c r="AJ1" s="44">
        <v>2024</v>
      </c>
      <c r="AK1" s="44">
        <v>2025</v>
      </c>
      <c r="AL1" s="1" t="s">
        <v>1</v>
      </c>
      <c r="AM1" s="45" t="s">
        <v>3</v>
      </c>
      <c r="AN1" s="46"/>
      <c r="AO1" s="45" t="s">
        <v>4</v>
      </c>
      <c r="AP1" s="47" t="s">
        <v>57</v>
      </c>
    </row>
    <row r="2" spans="1:42" x14ac:dyDescent="0.25">
      <c r="A2" s="49" t="s">
        <v>9</v>
      </c>
      <c r="B2" s="50">
        <f t="shared" ref="B2:AA2" si="0">SUM(B3:B6)</f>
        <v>106.70970902206479</v>
      </c>
      <c r="C2" s="50">
        <f t="shared" si="0"/>
        <v>95.731276666186105</v>
      </c>
      <c r="D2" s="50">
        <f t="shared" si="0"/>
        <v>90.711008890175265</v>
      </c>
      <c r="E2" s="50">
        <f t="shared" si="0"/>
        <v>92.935732332300958</v>
      </c>
      <c r="F2" s="50">
        <f t="shared" si="0"/>
        <v>91.143890031303712</v>
      </c>
      <c r="G2" s="50">
        <f t="shared" si="0"/>
        <v>90.838965888820113</v>
      </c>
      <c r="H2" s="50">
        <f t="shared" si="0"/>
        <v>89.483366647765564</v>
      </c>
      <c r="I2" s="50">
        <f t="shared" si="0"/>
        <v>86.49801320805237</v>
      </c>
      <c r="J2" s="50">
        <f t="shared" si="0"/>
        <v>71.439250233232784</v>
      </c>
      <c r="K2" s="50">
        <f t="shared" si="0"/>
        <v>71.786504341110827</v>
      </c>
      <c r="L2" s="50">
        <f t="shared" si="0"/>
        <v>71.769969757754311</v>
      </c>
      <c r="M2" s="50">
        <f t="shared" si="0"/>
        <v>86.040651714954279</v>
      </c>
      <c r="N2" s="50">
        <f t="shared" si="0"/>
        <v>59.393930791696846</v>
      </c>
      <c r="O2" s="50">
        <f t="shared" si="0"/>
        <v>806.3614699454082</v>
      </c>
      <c r="P2" s="50">
        <f t="shared" si="0"/>
        <v>63.21291199824455</v>
      </c>
      <c r="Q2" s="50">
        <f t="shared" si="0"/>
        <v>55.474234727821838</v>
      </c>
      <c r="R2" s="50">
        <f t="shared" si="0"/>
        <v>63.584117365318399</v>
      </c>
      <c r="S2" s="50">
        <f t="shared" si="0"/>
        <v>69.503385122231208</v>
      </c>
      <c r="T2" s="50">
        <f t="shared" si="0"/>
        <v>58.529232695233972</v>
      </c>
      <c r="U2" s="50">
        <f t="shared" si="0"/>
        <v>54.922558727324677</v>
      </c>
      <c r="V2" s="50">
        <f t="shared" si="0"/>
        <v>56.325252892878275</v>
      </c>
      <c r="W2" s="50">
        <f t="shared" si="0"/>
        <v>52.927707154898172</v>
      </c>
      <c r="X2" s="50">
        <f t="shared" si="0"/>
        <v>53.390957848361218</v>
      </c>
      <c r="Y2" s="50">
        <f t="shared" si="0"/>
        <v>52.288158352616563</v>
      </c>
      <c r="Z2" s="50">
        <f t="shared" si="0"/>
        <v>98.715731460084683</v>
      </c>
      <c r="AA2" s="50">
        <f t="shared" si="0"/>
        <v>51.925669048796131</v>
      </c>
      <c r="AB2" s="50">
        <f>SUM(AB3:AB6)</f>
        <v>52.578382648293584</v>
      </c>
      <c r="AC2" s="50">
        <f>SUM(AC3:AC6)</f>
        <v>55.732178762066923</v>
      </c>
      <c r="AD2" s="50">
        <f t="shared" ref="AD2:AK2" si="1">SUM(AD3:AD6)</f>
        <v>63.006085188936204</v>
      </c>
      <c r="AE2" s="50">
        <f t="shared" si="1"/>
        <v>56.547103084549704</v>
      </c>
      <c r="AF2" s="50">
        <f t="shared" si="1"/>
        <v>56.808970048889677</v>
      </c>
      <c r="AG2" s="50">
        <f t="shared" si="1"/>
        <v>45.281980691273034</v>
      </c>
      <c r="AH2" s="50">
        <f t="shared" si="1"/>
        <v>43.493205682608092</v>
      </c>
      <c r="AI2" s="50">
        <f t="shared" si="1"/>
        <v>41.839090035736149</v>
      </c>
      <c r="AJ2" s="50">
        <f t="shared" si="1"/>
        <v>50.23676759619368</v>
      </c>
      <c r="AK2" s="50">
        <f t="shared" si="1"/>
        <v>45.015466899243421</v>
      </c>
      <c r="AL2" s="9">
        <f t="shared" ref="AL2:AL16" si="2">AK2/$AK$47</f>
        <v>2.9687721897518927E-3</v>
      </c>
      <c r="AM2" s="9">
        <f t="shared" ref="AM2:AM16" si="3">(AK2-B2)/B2</f>
        <v>-0.5781502235196293</v>
      </c>
      <c r="AN2" s="6"/>
      <c r="AO2" s="11">
        <f t="shared" ref="AO2:AO16" si="4">(AK2-AJ2)/AJ2</f>
        <v>-0.10393385057970697</v>
      </c>
      <c r="AP2" s="12">
        <f t="shared" ref="AP2:AP16" si="5">AK2-AJ2</f>
        <v>-5.2213006969502587</v>
      </c>
    </row>
    <row r="3" spans="1:42" outlineLevel="1" x14ac:dyDescent="0.25">
      <c r="A3" s="51" t="s">
        <v>10</v>
      </c>
      <c r="B3" s="52">
        <f>(#REF!*28)+(#REF!*28)</f>
        <v>7.2604533165156369</v>
      </c>
      <c r="C3" s="52">
        <f>(#REF!*28)+(#REF!*28)</f>
        <v>7.2664228177143055</v>
      </c>
      <c r="D3" s="52">
        <f>(#REF!*28)+(#REF!*28)</f>
        <v>7.3502042244015158</v>
      </c>
      <c r="E3" s="52">
        <f>(#REF!*28)+(#REF!*28)</f>
        <v>8.0016987158472066</v>
      </c>
      <c r="F3" s="52">
        <f>(#REF!*28)+(#REF!*28)</f>
        <v>8.0744314622822504</v>
      </c>
      <c r="G3" s="52">
        <f>(#REF!*28)+(#REF!*28)</f>
        <v>8.6262005697465991</v>
      </c>
      <c r="H3" s="52">
        <f>(#REF!*28)+(#REF!*28)</f>
        <v>9.8597974265784103</v>
      </c>
      <c r="I3" s="52">
        <f>(#REF!*28)+(#REF!*28)</f>
        <v>10.232882273263328</v>
      </c>
      <c r="J3" s="52">
        <f>(#REF!*28)+(#REF!*28)</f>
        <v>10.125396149079871</v>
      </c>
      <c r="K3" s="52">
        <f>(#REF!*28)+(#REF!*28)</f>
        <v>10.978571593945681</v>
      </c>
      <c r="L3" s="52">
        <f>(#REF!*28)+(#REF!*28)</f>
        <v>12.020351809789814</v>
      </c>
      <c r="M3" s="52">
        <f>(#REF!*28)+(#REF!*28)</f>
        <v>12.582225698928838</v>
      </c>
      <c r="N3" s="52">
        <f>(#REF!*28)+(#REF!*28)</f>
        <v>11.878731872393528</v>
      </c>
      <c r="O3" s="52">
        <f>(#REF!*28)+(#REF!*28)</f>
        <v>11.129298289200424</v>
      </c>
      <c r="P3" s="52">
        <f>(#REF!*28)+(#REF!*28)</f>
        <v>9.8281542836108802</v>
      </c>
      <c r="Q3" s="52">
        <f>(#REF!*28)+(#REF!*28)</f>
        <v>9.9768813199024446</v>
      </c>
      <c r="R3" s="52">
        <f>(#REF!*28)+(#REF!*28)</f>
        <v>9.455225422269244</v>
      </c>
      <c r="S3" s="52">
        <f>(#REF!*28)+(#REF!*28)</f>
        <v>9.7570539914999959</v>
      </c>
      <c r="T3" s="52">
        <f>(#REF!*28)+(#REF!*28)</f>
        <v>7.8012977645222836</v>
      </c>
      <c r="U3" s="52">
        <f>(#REF!*28)+(#REF!*28)</f>
        <v>7.5785426256288355</v>
      </c>
      <c r="V3" s="52">
        <f>(#REF!*28)+(#REF!*28)</f>
        <v>7.5194864848490859</v>
      </c>
      <c r="W3" s="52">
        <f>(#REF!*28)+(#REF!*28)</f>
        <v>6.3238863212199767</v>
      </c>
      <c r="X3" s="52">
        <f>(#REF!*28)+(#REF!*28)</f>
        <v>7.5605676381413431</v>
      </c>
      <c r="Y3" s="52">
        <f>(#REF!*28)+(#REF!*28)</f>
        <v>7.252214572976337</v>
      </c>
      <c r="Z3" s="52">
        <f>(#REF!*28)+(#REF!*28)</f>
        <v>7.4339456145706624</v>
      </c>
      <c r="AA3" s="52">
        <f>(#REF!*28)+(#REF!*28)</f>
        <v>7.2079578729076346</v>
      </c>
      <c r="AB3" s="52">
        <f>(#REF!*28)+(#REF!*28)</f>
        <v>8.184274198310419</v>
      </c>
      <c r="AC3" s="52">
        <f>(#REF!*28)+(#REF!*28)</f>
        <v>10.00497373786817</v>
      </c>
      <c r="AD3" s="52">
        <f>(#REF!*28)+(#REF!*28)</f>
        <v>12.348241248802562</v>
      </c>
      <c r="AE3" s="52">
        <f>(#REF!*28)+(#REF!*28)</f>
        <v>11.917952581304984</v>
      </c>
      <c r="AF3" s="52">
        <f>(#REF!*28)+(#REF!*28)</f>
        <v>11.820128299898633</v>
      </c>
      <c r="AG3" s="52">
        <f>(#REF!*28)+(#REF!*28)</f>
        <v>11.457323905984495</v>
      </c>
      <c r="AH3" s="52">
        <f>(#REF!*28)+(#REF!*28)</f>
        <v>11.664339987604293</v>
      </c>
      <c r="AI3" s="52">
        <f>(#REF!*28)+(#REF!*28)</f>
        <v>10.606495571540565</v>
      </c>
      <c r="AJ3" s="52">
        <f>(#REF!*28)+(#REF!*28)</f>
        <v>10.682072744100147</v>
      </c>
      <c r="AK3" s="52">
        <f>(#REF!*28)+(#REF!*28)</f>
        <v>10.65974454979586</v>
      </c>
      <c r="AL3" s="15">
        <f t="shared" si="2"/>
        <v>7.030106616493885E-4</v>
      </c>
      <c r="AM3" s="15">
        <f t="shared" si="3"/>
        <v>0.46819269887015497</v>
      </c>
      <c r="AN3" s="29"/>
      <c r="AO3" s="16">
        <f t="shared" si="4"/>
        <v>-2.0902492277651364E-3</v>
      </c>
      <c r="AP3" s="17">
        <f t="shared" si="5"/>
        <v>-2.2328194304286342E-2</v>
      </c>
    </row>
    <row r="4" spans="1:42" outlineLevel="1" x14ac:dyDescent="0.25">
      <c r="A4" s="51" t="s">
        <v>11</v>
      </c>
      <c r="B4" s="52">
        <f>(#REF!*28)</f>
        <v>0.11503643306399999</v>
      </c>
      <c r="C4" s="52">
        <f>(#REF!*28)</f>
        <v>0.12194165531520001</v>
      </c>
      <c r="D4" s="52">
        <f>(#REF!*28)</f>
        <v>0.1062636133104</v>
      </c>
      <c r="E4" s="52">
        <f>(#REF!*28)</f>
        <v>0.10892931537600001</v>
      </c>
      <c r="F4" s="52">
        <f>(#REF!*28)</f>
        <v>0.113887575144</v>
      </c>
      <c r="G4" s="52">
        <f>(#REF!*28)</f>
        <v>0.11520794113920001</v>
      </c>
      <c r="H4" s="52">
        <f>(#REF!*28)</f>
        <v>0.11817445641120002</v>
      </c>
      <c r="I4" s="52">
        <f>(#REF!*28)</f>
        <v>0.14308990224480003</v>
      </c>
      <c r="J4" s="52">
        <f>(#REF!*28)</f>
        <v>0.1549482261264</v>
      </c>
      <c r="K4" s="52">
        <f>(#REF!*28)</f>
        <v>0.14555654709119997</v>
      </c>
      <c r="L4" s="52">
        <f>(#REF!*28)</f>
        <v>0.1917547031232</v>
      </c>
      <c r="M4" s="52">
        <f>(#REF!*28)</f>
        <v>0.21651845281920004</v>
      </c>
      <c r="N4" s="52">
        <f>(#REF!*28)</f>
        <v>0.2218223078064</v>
      </c>
      <c r="O4" s="52">
        <f>(#REF!*28)</f>
        <v>0.21093101749440002</v>
      </c>
      <c r="P4" s="52">
        <f>(#REF!*28)</f>
        <v>0.21424570705439999</v>
      </c>
      <c r="Q4" s="52">
        <f>(#REF!*28)</f>
        <v>0.26227500014567912</v>
      </c>
      <c r="R4" s="52">
        <f>(#REF!*28)</f>
        <v>0.24872261580567193</v>
      </c>
      <c r="S4" s="52">
        <f>(#REF!*28)</f>
        <v>0.24188109852871123</v>
      </c>
      <c r="T4" s="52">
        <f>(#REF!*28)</f>
        <v>0.2405529621760589</v>
      </c>
      <c r="U4" s="52">
        <f>(#REF!*28)</f>
        <v>0.20041675041264775</v>
      </c>
      <c r="V4" s="52">
        <f>(#REF!*28)</f>
        <v>0.16548096225085709</v>
      </c>
      <c r="W4" s="52">
        <f>(#REF!*28)</f>
        <v>0.16036609788050601</v>
      </c>
      <c r="X4" s="52">
        <f>(#REF!*28)</f>
        <v>0.17729104781211041</v>
      </c>
      <c r="Y4" s="52">
        <f>(#REF!*28)</f>
        <v>0.15441199833856051</v>
      </c>
      <c r="Z4" s="52">
        <f>(#REF!*28)</f>
        <v>0.1465907413581701</v>
      </c>
      <c r="AA4" s="52">
        <f>(#REF!*28)</f>
        <v>0.17908822549391032</v>
      </c>
      <c r="AB4" s="52">
        <f>(#REF!*28)</f>
        <v>0.16255385103191622</v>
      </c>
      <c r="AC4" s="52">
        <f>(#REF!*28)</f>
        <v>0.16570220192567248</v>
      </c>
      <c r="AD4" s="52">
        <f>(#REF!*28)</f>
        <v>0.1700294061099123</v>
      </c>
      <c r="AE4" s="52">
        <f>(#REF!*28)</f>
        <v>0.15068260498394051</v>
      </c>
      <c r="AF4" s="52">
        <f>(#REF!*28)</f>
        <v>0.17294664231305476</v>
      </c>
      <c r="AG4" s="52">
        <f>(#REF!*28)</f>
        <v>0.15719418918680128</v>
      </c>
      <c r="AH4" s="52">
        <f>(#REF!*28)</f>
        <v>0.15936849849999873</v>
      </c>
      <c r="AI4" s="52">
        <f>(#REF!*28)</f>
        <v>0.15247978305307838</v>
      </c>
      <c r="AJ4" s="52">
        <f>(#REF!*28)</f>
        <v>0.11321064733959496</v>
      </c>
      <c r="AK4" s="52">
        <f>(#REF!*28)</f>
        <v>0.15061051990270871</v>
      </c>
      <c r="AL4" s="15">
        <f t="shared" si="2"/>
        <v>9.9327709734084864E-6</v>
      </c>
      <c r="AM4" s="15">
        <f t="shared" si="3"/>
        <v>0.3092419148542031</v>
      </c>
      <c r="AN4" s="10"/>
      <c r="AO4" s="16">
        <f t="shared" si="4"/>
        <v>0.33035649421671753</v>
      </c>
      <c r="AP4" s="17">
        <f t="shared" si="5"/>
        <v>3.7399872563113751E-2</v>
      </c>
    </row>
    <row r="5" spans="1:42" outlineLevel="1" x14ac:dyDescent="0.25">
      <c r="A5" s="51" t="s">
        <v>12</v>
      </c>
      <c r="B5" s="52">
        <f>(#REF!*28)</f>
        <v>4.5354097152000006E-2</v>
      </c>
      <c r="C5" s="52">
        <f>(#REF!*28)</f>
        <v>3.6196058304000002E-2</v>
      </c>
      <c r="D5" s="52">
        <f>(#REF!*28)</f>
        <v>3.1398990336E-2</v>
      </c>
      <c r="E5" s="52">
        <f>(#REF!*28)</f>
        <v>3.1398990336E-2</v>
      </c>
      <c r="F5" s="52">
        <f>(#REF!*28)</f>
        <v>3.6196058304000002E-2</v>
      </c>
      <c r="G5" s="52">
        <f>(#REF!*28)</f>
        <v>3.2707281599999999E-2</v>
      </c>
      <c r="H5" s="52">
        <f>(#REF!*28)</f>
        <v>3.2707281599999999E-2</v>
      </c>
      <c r="I5" s="52">
        <f>(#REF!*28)</f>
        <v>2.3113145664000002E-2</v>
      </c>
      <c r="J5" s="52">
        <f>(#REF!*28)</f>
        <v>3.9248737920000006E-2</v>
      </c>
      <c r="K5" s="52">
        <f>(#REF!*28)</f>
        <v>3.7940446656E-2</v>
      </c>
      <c r="L5" s="52">
        <f>(#REF!*28)</f>
        <v>4.186532044800001E-2</v>
      </c>
      <c r="M5" s="52">
        <f>(#REF!*28)</f>
        <v>5.5820427264000008E-2</v>
      </c>
      <c r="N5" s="52">
        <f>(#REF!*28)</f>
        <v>7.0647728255999992E-2</v>
      </c>
      <c r="O5" s="52">
        <f>(#REF!*28)</f>
        <v>7.9805767103999989E-2</v>
      </c>
      <c r="P5" s="52">
        <f>(#REF!*28)</f>
        <v>7.3625900210045336E-2</v>
      </c>
      <c r="Q5" s="52">
        <f>(#REF!*28)</f>
        <v>8.5494615215166048E-2</v>
      </c>
      <c r="R5" s="52">
        <f>(#REF!*28)</f>
        <v>8.7852252980799989E-2</v>
      </c>
      <c r="S5" s="52">
        <f>(#REF!*28)</f>
        <v>8.3696623963108438E-2</v>
      </c>
      <c r="T5" s="52">
        <f>(#REF!*28)</f>
        <v>9.3192005254899041E-2</v>
      </c>
      <c r="U5" s="52">
        <f>(#REF!*28)</f>
        <v>9.6881011125690489E-2</v>
      </c>
      <c r="V5" s="52">
        <f>(#REF!*28)</f>
        <v>0.10103666751520439</v>
      </c>
      <c r="W5" s="52">
        <f>(#REF!*28)</f>
        <v>6.8005732542723352E-2</v>
      </c>
      <c r="X5" s="52">
        <f>(#REF!*28)</f>
        <v>7.2179283452838805E-2</v>
      </c>
      <c r="Y5" s="52">
        <f>(#REF!*28)</f>
        <v>8.0325453332496632E-2</v>
      </c>
      <c r="Z5" s="52">
        <f>(#REF!*28)</f>
        <v>6.8036863411938223E-2</v>
      </c>
      <c r="AA5" s="52">
        <f>(#REF!*28)</f>
        <v>5.8028314685922837E-2</v>
      </c>
      <c r="AB5" s="52">
        <f>(#REF!*28)</f>
        <v>6.3511035722045014E-2</v>
      </c>
      <c r="AC5" s="52">
        <f>(#REF!*28)</f>
        <v>6.5033435291406483E-2</v>
      </c>
      <c r="AD5" s="52">
        <f>(#REF!*28)</f>
        <v>5.9627097047327174E-2</v>
      </c>
      <c r="AE5" s="52">
        <f>(#REF!*28)</f>
        <v>5.392346563847765E-2</v>
      </c>
      <c r="AF5" s="52">
        <f>(#REF!*28)</f>
        <v>4.5675117988777637E-2</v>
      </c>
      <c r="AG5" s="52">
        <f>(#REF!*28)</f>
        <v>3.9994112966902098E-2</v>
      </c>
      <c r="AH5" s="52">
        <f>(#REF!*28)</f>
        <v>3.4254046579704767E-2</v>
      </c>
      <c r="AI5" s="52">
        <f>(#REF!*28)</f>
        <v>1.7291200223043351E-2</v>
      </c>
      <c r="AJ5" s="52">
        <f>(#REF!*28)</f>
        <v>2.2634380724387273E-3</v>
      </c>
      <c r="AK5" s="52">
        <f>(#REF!*28)</f>
        <v>5.295550256340739E-3</v>
      </c>
      <c r="AL5" s="15">
        <f t="shared" si="2"/>
        <v>3.492417920632991E-7</v>
      </c>
      <c r="AM5" s="15">
        <f t="shared" si="3"/>
        <v>-0.88323987051063557</v>
      </c>
      <c r="AN5" s="10"/>
      <c r="AO5" s="16">
        <f t="shared" si="4"/>
        <v>1.3396046575442999</v>
      </c>
      <c r="AP5" s="17">
        <f t="shared" si="5"/>
        <v>3.0321121839020117E-3</v>
      </c>
    </row>
    <row r="6" spans="1:42" outlineLevel="1" x14ac:dyDescent="0.25">
      <c r="A6" s="51" t="s">
        <v>13</v>
      </c>
      <c r="B6" s="52">
        <f>(#REF!+#REF!+#REF!)*28</f>
        <v>99.288865175333143</v>
      </c>
      <c r="C6" s="52">
        <f>(#REF!+#REF!+#REF!)*28</f>
        <v>88.306716134852593</v>
      </c>
      <c r="D6" s="52">
        <f>(#REF!+#REF!+#REF!)*28</f>
        <v>83.223142062127351</v>
      </c>
      <c r="E6" s="52">
        <f>(#REF!+#REF!+#REF!)*28</f>
        <v>84.793705310741757</v>
      </c>
      <c r="F6" s="52">
        <f>(#REF!+#REF!+#REF!)*28</f>
        <v>82.919374935573458</v>
      </c>
      <c r="G6" s="52">
        <f>(#REF!+#REF!+#REF!)*28</f>
        <v>82.064850096334311</v>
      </c>
      <c r="H6" s="52">
        <f>(#REF!+#REF!+#REF!)*28</f>
        <v>79.472687483175946</v>
      </c>
      <c r="I6" s="52">
        <f>(#REF!+#REF!+#REF!)*28</f>
        <v>76.098927886880247</v>
      </c>
      <c r="J6" s="52">
        <f>(#REF!+#REF!+#REF!)*28</f>
        <v>61.11965712010651</v>
      </c>
      <c r="K6" s="52">
        <f>(#REF!+#REF!+#REF!)*28</f>
        <v>60.624435753417949</v>
      </c>
      <c r="L6" s="52">
        <f>(#REF!+#REF!+#REF!)*28</f>
        <v>59.515997924393297</v>
      </c>
      <c r="M6" s="52">
        <f>(#REF!+#REF!+#REF!)*28</f>
        <v>73.186087135942245</v>
      </c>
      <c r="N6" s="52">
        <f>(#REF!+#REF!+#REF!)*28</f>
        <v>47.222728883240919</v>
      </c>
      <c r="O6" s="52">
        <f>(#REF!+#REF!+#REF!)*28</f>
        <v>794.94143487160943</v>
      </c>
      <c r="P6" s="52">
        <f>(#REF!+#REF!+#REF!)*28</f>
        <v>53.096886107369222</v>
      </c>
      <c r="Q6" s="52">
        <f>(#REF!+#REF!+#REF!)*28</f>
        <v>45.149583792558545</v>
      </c>
      <c r="R6" s="52">
        <f>(#REF!+#REF!+#REF!)*28</f>
        <v>53.792317074262684</v>
      </c>
      <c r="S6" s="52">
        <f>(#REF!+#REF!+#REF!)*28</f>
        <v>59.420753408239385</v>
      </c>
      <c r="T6" s="52">
        <f>(#REF!+#REF!+#REF!)*28</f>
        <v>50.394189963280731</v>
      </c>
      <c r="U6" s="52">
        <f>(#REF!+#REF!+#REF!)*28</f>
        <v>47.046718340157504</v>
      </c>
      <c r="V6" s="52">
        <f>(#REF!+#REF!+#REF!)*28</f>
        <v>48.539248778263129</v>
      </c>
      <c r="W6" s="52">
        <f>(#REF!+#REF!+#REF!)*28</f>
        <v>46.375449003254964</v>
      </c>
      <c r="X6" s="52">
        <f>(#REF!+#REF!+#REF!)*28</f>
        <v>45.580919878954923</v>
      </c>
      <c r="Y6" s="52">
        <f>(#REF!+#REF!+#REF!)*28</f>
        <v>44.801206327969169</v>
      </c>
      <c r="Z6" s="52">
        <f>(#REF!+#REF!+#REF!)*28</f>
        <v>91.067158240743908</v>
      </c>
      <c r="AA6" s="52">
        <f>(#REF!+#REF!+#REF!)*28</f>
        <v>44.480594635708663</v>
      </c>
      <c r="AB6" s="52">
        <f>(#REF!+#REF!+#REF!)*28</f>
        <v>44.168043563229205</v>
      </c>
      <c r="AC6" s="52">
        <f>(#REF!+#REF!+#REF!)*28</f>
        <v>45.496469386981673</v>
      </c>
      <c r="AD6" s="52">
        <f>(#REF!+#REF!+#REF!)*28</f>
        <v>50.428187436976401</v>
      </c>
      <c r="AE6" s="52">
        <f>(#REF!+#REF!+#REF!)*28</f>
        <v>44.424544432622305</v>
      </c>
      <c r="AF6" s="52">
        <f>(#REF!+#REF!+#REF!)*28</f>
        <v>44.770219988689213</v>
      </c>
      <c r="AG6" s="52">
        <f>(#REF!+#REF!+#REF!)*28</f>
        <v>33.627468483134834</v>
      </c>
      <c r="AH6" s="52">
        <f>(#REF!+#REF!+#REF!)*28</f>
        <v>31.635243149924097</v>
      </c>
      <c r="AI6" s="52">
        <f>(#REF!+#REF!+#REF!)*28</f>
        <v>31.062823480919466</v>
      </c>
      <c r="AJ6" s="52">
        <f>(#REF!+#REF!+#REF!)*28</f>
        <v>39.439220766681501</v>
      </c>
      <c r="AK6" s="52">
        <f>(#REF!+#REF!+#REF!)*28</f>
        <v>34.199816279288513</v>
      </c>
      <c r="AL6" s="15">
        <f t="shared" si="2"/>
        <v>2.2554795153370329E-3</v>
      </c>
      <c r="AM6" s="15">
        <f t="shared" si="3"/>
        <v>-0.6555523500153273</v>
      </c>
      <c r="AN6" s="6"/>
      <c r="AO6" s="16">
        <f t="shared" si="4"/>
        <v>-0.1328475660913481</v>
      </c>
      <c r="AP6" s="17">
        <f t="shared" si="5"/>
        <v>-5.2394044873929886</v>
      </c>
    </row>
    <row r="7" spans="1:42" x14ac:dyDescent="0.25">
      <c r="A7" s="53" t="s">
        <v>14</v>
      </c>
      <c r="B7" s="50">
        <f>#REF!*28</f>
        <v>495.65923189435318</v>
      </c>
      <c r="C7" s="50">
        <f>#REF!*28</f>
        <v>483.56260415019267</v>
      </c>
      <c r="D7" s="50">
        <f>#REF!*28</f>
        <v>410.79029366026697</v>
      </c>
      <c r="E7" s="50">
        <f>#REF!*28</f>
        <v>399.93039837346402</v>
      </c>
      <c r="F7" s="50">
        <f>#REF!*28</f>
        <v>352.59557877816826</v>
      </c>
      <c r="G7" s="50">
        <f>#REF!*28</f>
        <v>318.56419310188386</v>
      </c>
      <c r="H7" s="50">
        <f>#REF!*28</f>
        <v>318.87685733087255</v>
      </c>
      <c r="I7" s="50">
        <f>#REF!*28</f>
        <v>279.62573671924514</v>
      </c>
      <c r="J7" s="50">
        <f>#REF!*28</f>
        <v>296.6915886556074</v>
      </c>
      <c r="K7" s="50">
        <f>#REF!*28</f>
        <v>227.07947314365592</v>
      </c>
      <c r="L7" s="50">
        <f>#REF!*28</f>
        <v>226.62106889013009</v>
      </c>
      <c r="M7" s="50">
        <f>#REF!*28</f>
        <v>216.22334663789957</v>
      </c>
      <c r="N7" s="50">
        <f>#REF!*28</f>
        <v>213.30446175335402</v>
      </c>
      <c r="O7" s="50">
        <f>#REF!*28</f>
        <v>202.47634616314522</v>
      </c>
      <c r="P7" s="50">
        <f>#REF!*28</f>
        <v>199.07565285732093</v>
      </c>
      <c r="Q7" s="50">
        <f>#REF!*28</f>
        <v>208.29151276163194</v>
      </c>
      <c r="R7" s="50">
        <f>#REF!*28</f>
        <v>202.56106666616989</v>
      </c>
      <c r="S7" s="50">
        <f>#REF!*28</f>
        <v>196.63775359499633</v>
      </c>
      <c r="T7" s="50">
        <f>#REF!*28</f>
        <v>208.57492098743359</v>
      </c>
      <c r="U7" s="50">
        <f>#REF!*28</f>
        <v>220.05096550561743</v>
      </c>
      <c r="V7" s="50">
        <f>#REF!*28</f>
        <v>210.51917232814202</v>
      </c>
      <c r="W7" s="50">
        <f>#REF!*28</f>
        <v>188.38980483287449</v>
      </c>
      <c r="X7" s="50">
        <f>#REF!*28</f>
        <v>187.5290194067332</v>
      </c>
      <c r="Y7" s="50">
        <f>#REF!*28</f>
        <v>197.17579048459174</v>
      </c>
      <c r="Z7" s="50">
        <f>#REF!*28</f>
        <v>177.23711065142177</v>
      </c>
      <c r="AA7" s="50">
        <f>#REF!*28</f>
        <v>185.19807060211849</v>
      </c>
      <c r="AB7" s="50">
        <f>#REF!*28</f>
        <v>188.53625802023083</v>
      </c>
      <c r="AC7" s="50">
        <f>#REF!*28</f>
        <v>160.92968875743998</v>
      </c>
      <c r="AD7" s="50">
        <f>#REF!*28</f>
        <v>173.23950040321358</v>
      </c>
      <c r="AE7" s="50">
        <f>#REF!*28</f>
        <v>156.44473683889436</v>
      </c>
      <c r="AF7" s="50">
        <f>#REF!*28</f>
        <v>164.58225978377016</v>
      </c>
      <c r="AG7" s="50">
        <f>#REF!*28</f>
        <v>156.63985605712369</v>
      </c>
      <c r="AH7" s="50">
        <f>#REF!*28</f>
        <v>123.88903348978749</v>
      </c>
      <c r="AI7" s="50">
        <f>#REF!*28</f>
        <v>107.06802155051324</v>
      </c>
      <c r="AJ7" s="50">
        <f>#REF!*28</f>
        <v>107.2686487032877</v>
      </c>
      <c r="AK7" s="50">
        <f>#REF!*28</f>
        <v>102.80806507790342</v>
      </c>
      <c r="AL7" s="9">
        <f t="shared" si="2"/>
        <v>6.7801967969949506E-3</v>
      </c>
      <c r="AM7" s="9">
        <f t="shared" si="3"/>
        <v>-0.79258317315107263</v>
      </c>
      <c r="AN7" s="6"/>
      <c r="AO7" s="11">
        <f t="shared" si="4"/>
        <v>-4.158329278224198E-2</v>
      </c>
      <c r="AP7" s="12">
        <f t="shared" si="5"/>
        <v>-4.4605836253842739</v>
      </c>
    </row>
    <row r="8" spans="1:42" x14ac:dyDescent="0.25">
      <c r="A8" s="53" t="s">
        <v>15</v>
      </c>
      <c r="B8" s="50">
        <f>#REF!*28</f>
        <v>7.6716625604073911</v>
      </c>
      <c r="C8" s="50">
        <f>#REF!*28</f>
        <v>7.9946876288113913</v>
      </c>
      <c r="D8" s="50">
        <f>#REF!*28</f>
        <v>6.7652878880876024</v>
      </c>
      <c r="E8" s="50">
        <f>#REF!*28</f>
        <v>7.1200386663778907</v>
      </c>
      <c r="F8" s="50">
        <f>#REF!*28</f>
        <v>6.9401151691976963</v>
      </c>
      <c r="G8" s="50">
        <f>#REF!*28</f>
        <v>7.0997648405865936</v>
      </c>
      <c r="H8" s="50">
        <f>#REF!*28</f>
        <v>7.599308529997681</v>
      </c>
      <c r="I8" s="50">
        <f>#REF!*28</f>
        <v>7.7010509558166396</v>
      </c>
      <c r="J8" s="50">
        <f>#REF!*28</f>
        <v>8.2267356199531569</v>
      </c>
      <c r="K8" s="50">
        <f>#REF!*28</f>
        <v>8.3017402042866451</v>
      </c>
      <c r="L8" s="50">
        <f>#REF!*28</f>
        <v>9.638777982192714</v>
      </c>
      <c r="M8" s="50">
        <f>#REF!*28</f>
        <v>10.137193195824734</v>
      </c>
      <c r="N8" s="50">
        <f>#REF!*28</f>
        <v>9.7538169457401462</v>
      </c>
      <c r="O8" s="50">
        <f>#REF!*28</f>
        <v>10.080900776218471</v>
      </c>
      <c r="P8" s="50">
        <f>#REF!*28</f>
        <v>10.975571099189997</v>
      </c>
      <c r="Q8" s="50">
        <f>#REF!*28</f>
        <v>12.361448164606001</v>
      </c>
      <c r="R8" s="50">
        <f>#REF!*28</f>
        <v>11.815092685405798</v>
      </c>
      <c r="S8" s="50">
        <f>#REF!*28</f>
        <v>11.40388826181022</v>
      </c>
      <c r="T8" s="50">
        <f>#REF!*28</f>
        <v>10.55960092374915</v>
      </c>
      <c r="U8" s="50">
        <f>#REF!*28</f>
        <v>9.6006394481015906</v>
      </c>
      <c r="V8" s="50">
        <f>#REF!*28</f>
        <v>9.8513527082744847</v>
      </c>
      <c r="W8" s="50">
        <f>#REF!*28</f>
        <v>8.9468305132241337</v>
      </c>
      <c r="X8" s="50">
        <f>#REF!*28</f>
        <v>9.0247447229579372</v>
      </c>
      <c r="Y8" s="50">
        <f>#REF!*28</f>
        <v>9.7278762402879817</v>
      </c>
      <c r="Z8" s="50">
        <f>#REF!*28</f>
        <v>11.016559404009747</v>
      </c>
      <c r="AA8" s="50">
        <f>#REF!*28</f>
        <v>11.273290980239532</v>
      </c>
      <c r="AB8" s="50">
        <f>#REF!*28</f>
        <v>11.156471801009772</v>
      </c>
      <c r="AC8" s="50">
        <f>#REF!*28</f>
        <v>12.458764141694399</v>
      </c>
      <c r="AD8" s="50">
        <f>#REF!*28</f>
        <v>12.727246454291208</v>
      </c>
      <c r="AE8" s="50">
        <f>#REF!*28</f>
        <v>12.260672232642271</v>
      </c>
      <c r="AF8" s="50">
        <f>#REF!*28</f>
        <v>12.031243577100426</v>
      </c>
      <c r="AG8" s="50">
        <f>#REF!*28</f>
        <v>11.754727527926644</v>
      </c>
      <c r="AH8" s="50">
        <f>#REF!*28</f>
        <v>11.730754190582548</v>
      </c>
      <c r="AI8" s="50">
        <f>#REF!*28</f>
        <v>11.630128319953403</v>
      </c>
      <c r="AJ8" s="50">
        <f>#REF!*28</f>
        <v>11.341459859889234</v>
      </c>
      <c r="AK8" s="50">
        <f>#REF!*28</f>
        <v>11.962787251701226</v>
      </c>
      <c r="AL8" s="9">
        <f t="shared" si="2"/>
        <v>7.8894639000991846E-4</v>
      </c>
      <c r="AM8" s="9">
        <f t="shared" si="3"/>
        <v>0.55934742404336946</v>
      </c>
      <c r="AN8" s="6"/>
      <c r="AO8" s="11">
        <f t="shared" si="4"/>
        <v>5.4783722685419783E-2</v>
      </c>
      <c r="AP8" s="12">
        <f t="shared" si="5"/>
        <v>0.6213273918119917</v>
      </c>
    </row>
    <row r="9" spans="1:42" x14ac:dyDescent="0.25">
      <c r="A9" s="53" t="s">
        <v>16</v>
      </c>
      <c r="B9" s="50">
        <f>#REF!*28</f>
        <v>3.6666435241060777</v>
      </c>
      <c r="C9" s="50">
        <f>#REF!*28</f>
        <v>3.7058578705988068</v>
      </c>
      <c r="D9" s="50">
        <f>#REF!*28</f>
        <v>3.6538692346696751</v>
      </c>
      <c r="E9" s="50">
        <f>#REF!*28</f>
        <v>3.565396035479266</v>
      </c>
      <c r="F9" s="50">
        <f>#REF!*28</f>
        <v>3.8808966434968939</v>
      </c>
      <c r="G9" s="50">
        <f>#REF!*28</f>
        <v>3.7885004440854688</v>
      </c>
      <c r="H9" s="50">
        <f>#REF!*28</f>
        <v>3.3571991897823672</v>
      </c>
      <c r="I9" s="50">
        <f>#REF!*28</f>
        <v>3.3571640139971213</v>
      </c>
      <c r="J9" s="50">
        <f>#REF!*28</f>
        <v>3.2509048908753013</v>
      </c>
      <c r="K9" s="50">
        <f>#REF!*28</f>
        <v>3.331576784090601</v>
      </c>
      <c r="L9" s="50">
        <f>#REF!*28</f>
        <v>3.3337372954775164</v>
      </c>
      <c r="M9" s="50">
        <f>#REF!*28</f>
        <v>3.2588809253078415</v>
      </c>
      <c r="N9" s="50">
        <f>#REF!*28</f>
        <v>3.1301015780245267</v>
      </c>
      <c r="O9" s="50">
        <f>#REF!*28</f>
        <v>3.3639260117029823</v>
      </c>
      <c r="P9" s="50">
        <f>#REF!*28</f>
        <v>3.1973325199206704</v>
      </c>
      <c r="Q9" s="50">
        <f>#REF!*28</f>
        <v>3.328765676959073</v>
      </c>
      <c r="R9" s="50">
        <f>#REF!*28</f>
        <v>3.6530367709249658</v>
      </c>
      <c r="S9" s="50">
        <f>#REF!*28</f>
        <v>5.1335887478032758</v>
      </c>
      <c r="T9" s="50">
        <f>#REF!*28</f>
        <v>7.1473833689799298</v>
      </c>
      <c r="U9" s="50">
        <f>#REF!*28</f>
        <v>5.9067343314402487</v>
      </c>
      <c r="V9" s="50">
        <f>#REF!*28</f>
        <v>5.6049816811125597</v>
      </c>
      <c r="W9" s="50">
        <f>#REF!*28</f>
        <v>5.9738180803419683</v>
      </c>
      <c r="X9" s="50">
        <f>#REF!*28</f>
        <v>6.6811851565534512</v>
      </c>
      <c r="Y9" s="50">
        <f>#REF!*28</f>
        <v>7.6145978571493815</v>
      </c>
      <c r="Z9" s="50">
        <f>#REF!*28</f>
        <v>8.1445841502192096</v>
      </c>
      <c r="AA9" s="50">
        <f>#REF!*28</f>
        <v>5.6792165440317302</v>
      </c>
      <c r="AB9" s="50">
        <f>#REF!*28</f>
        <v>6.1873483383231687</v>
      </c>
      <c r="AC9" s="50">
        <f>#REF!*28</f>
        <v>5.0700425841212784</v>
      </c>
      <c r="AD9" s="50">
        <f>#REF!*28</f>
        <v>5.1345220842499426</v>
      </c>
      <c r="AE9" s="50">
        <f>#REF!*28</f>
        <v>4.5967694942115962</v>
      </c>
      <c r="AF9" s="50">
        <f>#REF!*28</f>
        <v>4.4340955027696811</v>
      </c>
      <c r="AG9" s="50">
        <f>#REF!*28</f>
        <v>4.9938831860719439</v>
      </c>
      <c r="AH9" s="50">
        <f>#REF!*28</f>
        <v>5.0845557040103246</v>
      </c>
      <c r="AI9" s="50">
        <f>#REF!*28</f>
        <v>4.5655266751742047</v>
      </c>
      <c r="AJ9" s="50">
        <f>#REF!*28</f>
        <v>5.1977331023308171</v>
      </c>
      <c r="AK9" s="50">
        <f>#REF!*28</f>
        <v>5.7720171379645882</v>
      </c>
      <c r="AL9" s="9">
        <f t="shared" si="2"/>
        <v>3.8066480563924988E-4</v>
      </c>
      <c r="AM9" s="9">
        <f t="shared" si="3"/>
        <v>0.57419642788203618</v>
      </c>
      <c r="AN9" s="10"/>
      <c r="AO9" s="11">
        <f t="shared" si="4"/>
        <v>0.1104874037060974</v>
      </c>
      <c r="AP9" s="12">
        <f t="shared" si="5"/>
        <v>0.57428403563377106</v>
      </c>
    </row>
    <row r="10" spans="1:42" x14ac:dyDescent="0.25">
      <c r="A10" s="53" t="s">
        <v>17</v>
      </c>
      <c r="B10" s="50">
        <f>#REF!*28</f>
        <v>3.8994347314217772</v>
      </c>
      <c r="C10" s="50">
        <f>#REF!*28</f>
        <v>3.7808380898941598</v>
      </c>
      <c r="D10" s="50">
        <f>#REF!*28</f>
        <v>3.4647052860806689</v>
      </c>
      <c r="E10" s="50">
        <f>#REF!*28</f>
        <v>3.319362143598068</v>
      </c>
      <c r="F10" s="50">
        <f>#REF!*28</f>
        <v>3.3314287900409885</v>
      </c>
      <c r="G10" s="50">
        <f>#REF!*28</f>
        <v>3.0869025402900547</v>
      </c>
      <c r="H10" s="50">
        <f>#REF!*28</f>
        <v>2.8595925938772071</v>
      </c>
      <c r="I10" s="50">
        <f>#REF!*28</f>
        <v>2.68140098574615</v>
      </c>
      <c r="J10" s="50">
        <f>#REF!*28</f>
        <v>2.466372714330443</v>
      </c>
      <c r="K10" s="50">
        <f>#REF!*28</f>
        <v>2.5327066649806351</v>
      </c>
      <c r="L10" s="50">
        <f>#REF!*28</f>
        <v>2.6129734494531061</v>
      </c>
      <c r="M10" s="50">
        <f>#REF!*28</f>
        <v>2.5081451569921511</v>
      </c>
      <c r="N10" s="50">
        <f>#REF!*28</f>
        <v>2.3450924177266383</v>
      </c>
      <c r="O10" s="50">
        <f>#REF!*28</f>
        <v>2.2281612007969049</v>
      </c>
      <c r="P10" s="50">
        <f>#REF!*28</f>
        <v>2.0613248064155782</v>
      </c>
      <c r="Q10" s="50">
        <f>#REF!*28</f>
        <v>2.0472101070543731</v>
      </c>
      <c r="R10" s="50">
        <f>#REF!*28</f>
        <v>1.9566473646949341</v>
      </c>
      <c r="S10" s="50">
        <f>#REF!*28</f>
        <v>1.8291294150097794</v>
      </c>
      <c r="T10" s="50">
        <f>#REF!*28</f>
        <v>1.8414167549968616</v>
      </c>
      <c r="U10" s="50">
        <f>#REF!*28</f>
        <v>3.2000873199489512</v>
      </c>
      <c r="V10" s="50">
        <f>#REF!*28</f>
        <v>2.8703750651155007</v>
      </c>
      <c r="W10" s="50">
        <f>#REF!*28</f>
        <v>3.4864708936005031</v>
      </c>
      <c r="X10" s="50">
        <f>#REF!*28</f>
        <v>4.0961570745971905</v>
      </c>
      <c r="Y10" s="50">
        <f>#REF!*28</f>
        <v>5.5832120548743642</v>
      </c>
      <c r="Z10" s="50">
        <f>#REF!*28</f>
        <v>5.8227933013464614</v>
      </c>
      <c r="AA10" s="50">
        <f>#REF!*28</f>
        <v>4.6219870343689413</v>
      </c>
      <c r="AB10" s="50">
        <f>#REF!*28</f>
        <v>6.8734748452338641</v>
      </c>
      <c r="AC10" s="50">
        <f>#REF!*28</f>
        <v>6.4916321168683897</v>
      </c>
      <c r="AD10" s="50">
        <f>#REF!*28</f>
        <v>5.9468677061420916</v>
      </c>
      <c r="AE10" s="50">
        <f>#REF!*28</f>
        <v>5.2381339515855778</v>
      </c>
      <c r="AF10" s="50">
        <f>#REF!*28</f>
        <v>5.5202959239710783</v>
      </c>
      <c r="AG10" s="50">
        <f>#REF!*28</f>
        <v>6.1444615815246317</v>
      </c>
      <c r="AH10" s="50">
        <f>#REF!*28</f>
        <v>6.3398994217843718</v>
      </c>
      <c r="AI10" s="50">
        <f>#REF!*28</f>
        <v>5.7503101444418157</v>
      </c>
      <c r="AJ10" s="50">
        <f>#REF!*28</f>
        <v>6.4640261403173165</v>
      </c>
      <c r="AK10" s="50">
        <f>#REF!*28</f>
        <v>6.619300517659779</v>
      </c>
      <c r="AL10" s="9">
        <f t="shared" si="2"/>
        <v>4.3654318495514572E-4</v>
      </c>
      <c r="AM10" s="9">
        <f t="shared" si="3"/>
        <v>0.69750258013584154</v>
      </c>
      <c r="AN10" s="6"/>
      <c r="AO10" s="11">
        <f t="shared" si="4"/>
        <v>2.4021310244088857E-2</v>
      </c>
      <c r="AP10" s="12">
        <f t="shared" si="5"/>
        <v>0.15527437734246252</v>
      </c>
    </row>
    <row r="11" spans="1:42" x14ac:dyDescent="0.25">
      <c r="A11" s="53" t="s">
        <v>18</v>
      </c>
      <c r="B11" s="50">
        <f t="shared" ref="B11" si="6">SUM(B12:B16)</f>
        <v>54.936296806367167</v>
      </c>
      <c r="C11" s="50">
        <f t="shared" ref="C11:AK11" si="7">SUM(C12:C16)</f>
        <v>56.403874507806819</v>
      </c>
      <c r="D11" s="50">
        <f t="shared" si="7"/>
        <v>57.796792739248147</v>
      </c>
      <c r="E11" s="50">
        <f t="shared" si="7"/>
        <v>54.591001683716485</v>
      </c>
      <c r="F11" s="50">
        <f t="shared" si="7"/>
        <v>53.268741266593295</v>
      </c>
      <c r="G11" s="50">
        <f t="shared" si="7"/>
        <v>52.772939372402838</v>
      </c>
      <c r="H11" s="50">
        <f t="shared" si="7"/>
        <v>52.714017819453353</v>
      </c>
      <c r="I11" s="50">
        <f t="shared" si="7"/>
        <v>50.046592081029637</v>
      </c>
      <c r="J11" s="50">
        <f t="shared" si="7"/>
        <v>52.402966743114192</v>
      </c>
      <c r="K11" s="50">
        <f t="shared" si="7"/>
        <v>51.854033240301504</v>
      </c>
      <c r="L11" s="50">
        <f t="shared" si="7"/>
        <v>49.253994279533529</v>
      </c>
      <c r="M11" s="50">
        <f t="shared" si="7"/>
        <v>48.478794275987347</v>
      </c>
      <c r="N11" s="50">
        <f t="shared" si="7"/>
        <v>45.416083649692169</v>
      </c>
      <c r="O11" s="50">
        <f t="shared" si="7"/>
        <v>43.324510892686277</v>
      </c>
      <c r="P11" s="50">
        <f t="shared" si="7"/>
        <v>43.067458337030651</v>
      </c>
      <c r="Q11" s="50">
        <f t="shared" si="7"/>
        <v>43.377970652222515</v>
      </c>
      <c r="R11" s="50">
        <f t="shared" si="7"/>
        <v>42.065109422966209</v>
      </c>
      <c r="S11" s="50">
        <f t="shared" si="7"/>
        <v>40.665670962559254</v>
      </c>
      <c r="T11" s="50">
        <f t="shared" si="7"/>
        <v>37.936783193012253</v>
      </c>
      <c r="U11" s="50">
        <f t="shared" si="7"/>
        <v>33.464573423397802</v>
      </c>
      <c r="V11" s="50">
        <f t="shared" si="7"/>
        <v>29.495234821858258</v>
      </c>
      <c r="W11" s="50">
        <f t="shared" si="7"/>
        <v>27.283309033993685</v>
      </c>
      <c r="X11" s="50">
        <f t="shared" si="7"/>
        <v>24.622148130247236</v>
      </c>
      <c r="Y11" s="50">
        <f t="shared" si="7"/>
        <v>23.486075245527807</v>
      </c>
      <c r="Z11" s="50">
        <f t="shared" si="7"/>
        <v>22.436135806264247</v>
      </c>
      <c r="AA11" s="50">
        <f t="shared" si="7"/>
        <v>21.120537958632923</v>
      </c>
      <c r="AB11" s="50">
        <f t="shared" si="7"/>
        <v>19.507278616449163</v>
      </c>
      <c r="AC11" s="50">
        <f t="shared" si="7"/>
        <v>17.102614199314441</v>
      </c>
      <c r="AD11" s="50">
        <f t="shared" si="7"/>
        <v>15.322861080374166</v>
      </c>
      <c r="AE11" s="50">
        <f t="shared" si="7"/>
        <v>13.986171923337256</v>
      </c>
      <c r="AF11" s="50">
        <f t="shared" si="7"/>
        <v>10.420908541756212</v>
      </c>
      <c r="AG11" s="50">
        <f t="shared" si="7"/>
        <v>10.314762231291001</v>
      </c>
      <c r="AH11" s="50">
        <f t="shared" si="7"/>
        <v>10.817694326780666</v>
      </c>
      <c r="AI11" s="50">
        <f t="shared" si="7"/>
        <v>11.571035755413169</v>
      </c>
      <c r="AJ11" s="50">
        <f t="shared" si="7"/>
        <v>11.62346309297287</v>
      </c>
      <c r="AK11" s="50">
        <f t="shared" si="7"/>
        <v>11.910393867237522</v>
      </c>
      <c r="AL11" s="9">
        <f t="shared" si="2"/>
        <v>7.8549104380478036E-4</v>
      </c>
      <c r="AM11" s="9">
        <f t="shared" si="3"/>
        <v>-0.7831962735089727</v>
      </c>
      <c r="AN11" s="6"/>
      <c r="AO11" s="11">
        <f t="shared" si="4"/>
        <v>2.4685480735781782E-2</v>
      </c>
      <c r="AP11" s="12">
        <f t="shared" si="5"/>
        <v>0.2869307742646523</v>
      </c>
    </row>
    <row r="12" spans="1:42" outlineLevel="1" x14ac:dyDescent="0.25">
      <c r="A12" s="51" t="s">
        <v>19</v>
      </c>
      <c r="B12" s="52">
        <f>#REF!*28</f>
        <v>3.5013627977110919E-2</v>
      </c>
      <c r="C12" s="52">
        <f>#REF!*28</f>
        <v>3.1754317864245318E-2</v>
      </c>
      <c r="D12" s="52">
        <f>#REF!*28</f>
        <v>3.1477390810221641E-2</v>
      </c>
      <c r="E12" s="52">
        <f>#REF!*28</f>
        <v>2.7073401669846543E-2</v>
      </c>
      <c r="F12" s="52">
        <f>#REF!*28</f>
        <v>2.8135116543269389E-2</v>
      </c>
      <c r="G12" s="52">
        <f>#REF!*28</f>
        <v>3.3084495179188121E-2</v>
      </c>
      <c r="H12" s="52">
        <f>#REF!*28</f>
        <v>3.5398509434898251E-2</v>
      </c>
      <c r="I12" s="52">
        <f>#REF!*28</f>
        <v>3.7191076931976624E-2</v>
      </c>
      <c r="J12" s="52">
        <f>#REF!*28</f>
        <v>4.1108870306551561E-2</v>
      </c>
      <c r="K12" s="52">
        <f>#REF!*28</f>
        <v>4.6561943545338609E-2</v>
      </c>
      <c r="L12" s="52">
        <f>#REF!*28</f>
        <v>5.0381752636023722E-2</v>
      </c>
      <c r="M12" s="52">
        <f>#REF!*28</f>
        <v>5.0057391134493326E-2</v>
      </c>
      <c r="N12" s="52">
        <f>#REF!*28</f>
        <v>4.9607975094225501E-2</v>
      </c>
      <c r="O12" s="52">
        <f>#REF!*28</f>
        <v>5.1491711457548869E-2</v>
      </c>
      <c r="P12" s="52">
        <f>#REF!*28</f>
        <v>4.903230471138266E-2</v>
      </c>
      <c r="Q12" s="52">
        <f>#REF!*28</f>
        <v>5.5965750524316613E-2</v>
      </c>
      <c r="R12" s="52">
        <f>#REF!*28</f>
        <v>6.7615261206055891E-2</v>
      </c>
      <c r="S12" s="52">
        <f>#REF!*28</f>
        <v>6.3361255078760295E-2</v>
      </c>
      <c r="T12" s="52">
        <f>#REF!*28</f>
        <v>5.8285812970859059E-2</v>
      </c>
      <c r="U12" s="52">
        <f>#REF!*28</f>
        <v>4.7628004777055366E-2</v>
      </c>
      <c r="V12" s="52">
        <f>#REF!*28</f>
        <v>3.5869907653618638E-2</v>
      </c>
      <c r="W12" s="52">
        <f>#REF!*28</f>
        <v>1.7069656011540726E-2</v>
      </c>
      <c r="X12" s="52">
        <f>#REF!*28</f>
        <v>1.0029187902411441E-2</v>
      </c>
      <c r="Y12" s="52">
        <f>#REF!*28</f>
        <v>9.6645132331798361E-3</v>
      </c>
      <c r="Z12" s="52">
        <f>#REF!*28</f>
        <v>9.1971161588364804E-3</v>
      </c>
      <c r="AA12" s="52">
        <f>#REF!*28</f>
        <v>9.6885924796332006E-3</v>
      </c>
      <c r="AB12" s="52">
        <f>#REF!*28</f>
        <v>1.0439533304060335E-2</v>
      </c>
      <c r="AC12" s="52">
        <f>#REF!*28</f>
        <v>1.0437832874005432E-2</v>
      </c>
      <c r="AD12" s="52">
        <f>#REF!*28</f>
        <v>1.0708749220416128E-2</v>
      </c>
      <c r="AE12" s="52">
        <f>#REF!*28</f>
        <v>1.1738873692644394E-2</v>
      </c>
      <c r="AF12" s="52">
        <f>#REF!*28</f>
        <v>8.8979553089152882E-3</v>
      </c>
      <c r="AG12" s="52">
        <f>#REF!*28</f>
        <v>1.3564149634179647E-2</v>
      </c>
      <c r="AH12" s="52">
        <f>#REF!*28</f>
        <v>1.44237373865662E-2</v>
      </c>
      <c r="AI12" s="52">
        <f>#REF!*28</f>
        <v>1.6283154957453718E-2</v>
      </c>
      <c r="AJ12" s="52">
        <f>#REF!*28</f>
        <v>1.7692442198430556E-2</v>
      </c>
      <c r="AK12" s="52">
        <f>#REF!*28</f>
        <v>1.8720428532552201E-2</v>
      </c>
      <c r="AL12" s="15">
        <f t="shared" si="2"/>
        <v>1.2346131548979422E-6</v>
      </c>
      <c r="AM12" s="15">
        <f t="shared" si="3"/>
        <v>-0.46533879480326618</v>
      </c>
      <c r="AN12" s="6"/>
      <c r="AO12" s="16">
        <f t="shared" si="4"/>
        <v>5.8103133676640453E-2</v>
      </c>
      <c r="AP12" s="17">
        <f t="shared" si="5"/>
        <v>1.0279863341216451E-3</v>
      </c>
    </row>
    <row r="13" spans="1:42" outlineLevel="1" x14ac:dyDescent="0.25">
      <c r="A13" s="51" t="s">
        <v>20</v>
      </c>
      <c r="B13" s="52">
        <f>#REF!*28</f>
        <v>54.431794818365127</v>
      </c>
      <c r="C13" s="52">
        <f>#REF!*28</f>
        <v>55.916326000839128</v>
      </c>
      <c r="D13" s="52">
        <f>#REF!*28</f>
        <v>57.305989952971473</v>
      </c>
      <c r="E13" s="52">
        <f>#REF!*28</f>
        <v>54.098013915577631</v>
      </c>
      <c r="F13" s="52">
        <f>#REF!*28</f>
        <v>52.75778013309516</v>
      </c>
      <c r="G13" s="52">
        <f>#REF!*28</f>
        <v>52.262502795804608</v>
      </c>
      <c r="H13" s="52">
        <f>#REF!*28</f>
        <v>52.132756305318857</v>
      </c>
      <c r="I13" s="52">
        <f>#REF!*28</f>
        <v>49.47794784624832</v>
      </c>
      <c r="J13" s="52">
        <f>#REF!*28</f>
        <v>51.817162370140167</v>
      </c>
      <c r="K13" s="52">
        <f>#REF!*28</f>
        <v>51.22372876260647</v>
      </c>
      <c r="L13" s="52">
        <f>#REF!*28</f>
        <v>48.58146433844221</v>
      </c>
      <c r="M13" s="52">
        <f>#REF!*28</f>
        <v>47.765603478837647</v>
      </c>
      <c r="N13" s="52">
        <f>#REF!*28</f>
        <v>44.704073754083744</v>
      </c>
      <c r="O13" s="52">
        <f>#REF!*28</f>
        <v>42.556049545650403</v>
      </c>
      <c r="P13" s="52">
        <f>#REF!*28</f>
        <v>42.146533423373654</v>
      </c>
      <c r="Q13" s="52">
        <f>#REF!*28</f>
        <v>42.499563713994853</v>
      </c>
      <c r="R13" s="52">
        <f>#REF!*28</f>
        <v>41.067402409412765</v>
      </c>
      <c r="S13" s="52">
        <f>#REF!*28</f>
        <v>39.806683211331951</v>
      </c>
      <c r="T13" s="52">
        <f>#REF!*28</f>
        <v>37.044162275483764</v>
      </c>
      <c r="U13" s="52">
        <f>#REF!*28</f>
        <v>32.621491922363575</v>
      </c>
      <c r="V13" s="52">
        <f>#REF!*28</f>
        <v>28.657505668543013</v>
      </c>
      <c r="W13" s="52">
        <f>#REF!*28</f>
        <v>26.539329052607901</v>
      </c>
      <c r="X13" s="52">
        <f>#REF!*28</f>
        <v>23.870957042371373</v>
      </c>
      <c r="Y13" s="52">
        <f>#REF!*28</f>
        <v>22.742418858986952</v>
      </c>
      <c r="Z13" s="52">
        <f>#REF!*28</f>
        <v>21.589236062719319</v>
      </c>
      <c r="AA13" s="52">
        <f>#REF!*28</f>
        <v>20.282447767031492</v>
      </c>
      <c r="AB13" s="52">
        <f>#REF!*28</f>
        <v>18.54647490216178</v>
      </c>
      <c r="AC13" s="52">
        <f>#REF!*28</f>
        <v>16.2226793386323</v>
      </c>
      <c r="AD13" s="52">
        <f>#REF!*28</f>
        <v>14.368224617328258</v>
      </c>
      <c r="AE13" s="52">
        <f>#REF!*28</f>
        <v>12.976430350442154</v>
      </c>
      <c r="AF13" s="52">
        <f>#REF!*28</f>
        <v>9.2872589110895323</v>
      </c>
      <c r="AG13" s="52">
        <f>#REF!*28</f>
        <v>9.0998257152533242</v>
      </c>
      <c r="AH13" s="52">
        <f>#REF!*28</f>
        <v>9.7254095606279343</v>
      </c>
      <c r="AI13" s="52">
        <f>#REF!*28</f>
        <v>10.419433925309647</v>
      </c>
      <c r="AJ13" s="52">
        <f>#REF!*28</f>
        <v>10.501323658835057</v>
      </c>
      <c r="AK13" s="52">
        <f>#REF!*28</f>
        <v>10.726885776675212</v>
      </c>
      <c r="AL13" s="15">
        <f t="shared" si="2"/>
        <v>7.0743862876547741E-4</v>
      </c>
      <c r="AM13" s="15">
        <f t="shared" si="3"/>
        <v>-0.80292978005832738</v>
      </c>
      <c r="AN13" s="6"/>
      <c r="AO13" s="16">
        <f t="shared" si="4"/>
        <v>2.1479398708979296E-2</v>
      </c>
      <c r="AP13" s="17">
        <f t="shared" si="5"/>
        <v>0.22556211784015545</v>
      </c>
    </row>
    <row r="14" spans="1:42" outlineLevel="1" x14ac:dyDescent="0.25">
      <c r="A14" s="51" t="s">
        <v>21</v>
      </c>
      <c r="B14" s="52">
        <f>#REF!*28</f>
        <v>0.21114367344000001</v>
      </c>
      <c r="C14" s="52">
        <f>#REF!*28</f>
        <v>0.20506234644000002</v>
      </c>
      <c r="D14" s="52">
        <f>#REF!*28</f>
        <v>0.18389932848000004</v>
      </c>
      <c r="E14" s="52">
        <f>#REF!*28</f>
        <v>0.20190005640000003</v>
      </c>
      <c r="F14" s="52">
        <f>#REF!*28</f>
        <v>0.19022390856000002</v>
      </c>
      <c r="G14" s="52">
        <f>#REF!*28</f>
        <v>0.17660173607999999</v>
      </c>
      <c r="H14" s="52">
        <f>#REF!*28</f>
        <v>0.20579210568</v>
      </c>
      <c r="I14" s="52">
        <f>#REF!*28</f>
        <v>0.19849451328000003</v>
      </c>
      <c r="J14" s="52">
        <f>#REF!*28</f>
        <v>0.20433258720000003</v>
      </c>
      <c r="K14" s="52">
        <f>#REF!*28</f>
        <v>0.19654848864000002</v>
      </c>
      <c r="L14" s="52">
        <f>#REF!*28</f>
        <v>0.19523492200800005</v>
      </c>
      <c r="M14" s="52">
        <f>#REF!*28</f>
        <v>0.21308969808000003</v>
      </c>
      <c r="N14" s="52">
        <f>#REF!*28</f>
        <v>0.18633185928000001</v>
      </c>
      <c r="O14" s="52">
        <f>#REF!*28</f>
        <v>0.20579210568</v>
      </c>
      <c r="P14" s="52">
        <f>#REF!*28</f>
        <v>0.21698174736000006</v>
      </c>
      <c r="Q14" s="52">
        <f>#REF!*28</f>
        <v>0.19371835635898482</v>
      </c>
      <c r="R14" s="52">
        <f>#REF!*28</f>
        <v>0.19371835635898482</v>
      </c>
      <c r="S14" s="52">
        <f>#REF!*28</f>
        <v>0.20949682292308147</v>
      </c>
      <c r="T14" s="52">
        <f>#REF!*28</f>
        <v>0.22202335008284557</v>
      </c>
      <c r="U14" s="52">
        <f>#REF!*28</f>
        <v>0.19481925990694607</v>
      </c>
      <c r="V14" s="52">
        <f>#REF!*28</f>
        <v>0.19333059181520224</v>
      </c>
      <c r="W14" s="52">
        <f>#REF!*28</f>
        <v>0.19342696563310424</v>
      </c>
      <c r="X14" s="52">
        <f>#REF!*28</f>
        <v>0.18712198958016418</v>
      </c>
      <c r="Y14" s="52">
        <f>#REF!*28</f>
        <v>0.1863482858894801</v>
      </c>
      <c r="Z14" s="52">
        <f>#REF!*28</f>
        <v>0.17094915812027006</v>
      </c>
      <c r="AA14" s="52">
        <f>#REF!*28</f>
        <v>0.17421956306791161</v>
      </c>
      <c r="AB14" s="52">
        <f>#REF!*28</f>
        <v>0.17743256524996673</v>
      </c>
      <c r="AC14" s="52">
        <f>#REF!*28</f>
        <v>0.18316176027575243</v>
      </c>
      <c r="AD14" s="52">
        <f>#REF!*28</f>
        <v>0.18508261744132581</v>
      </c>
      <c r="AE14" s="52">
        <f>#REF!*28</f>
        <v>0.19367872625433827</v>
      </c>
      <c r="AF14" s="52">
        <f>#REF!*28</f>
        <v>0.15430579328967203</v>
      </c>
      <c r="AG14" s="52">
        <f>#REF!*28</f>
        <v>0.16687628854388833</v>
      </c>
      <c r="AH14" s="52">
        <f>#REF!*28</f>
        <v>0.18657501702946752</v>
      </c>
      <c r="AI14" s="52">
        <f>#REF!*28</f>
        <v>0.20387426739683559</v>
      </c>
      <c r="AJ14" s="52">
        <f>#REF!*28</f>
        <v>0.22078186898906271</v>
      </c>
      <c r="AK14" s="52">
        <f>#REF!*28</f>
        <v>0.22999126042883322</v>
      </c>
      <c r="AL14" s="15">
        <f t="shared" si="2"/>
        <v>1.5167934598465329E-5</v>
      </c>
      <c r="AM14" s="15">
        <f t="shared" si="3"/>
        <v>8.9264275276469809E-2</v>
      </c>
      <c r="AN14" s="6"/>
      <c r="AO14" s="16">
        <f t="shared" si="4"/>
        <v>4.1712625597107943E-2</v>
      </c>
      <c r="AP14" s="17">
        <f t="shared" si="5"/>
        <v>9.209391439770509E-3</v>
      </c>
    </row>
    <row r="15" spans="1:42" outlineLevel="1" x14ac:dyDescent="0.25">
      <c r="A15" s="51" t="s">
        <v>22</v>
      </c>
      <c r="B15" s="52">
        <f>#REF!*28</f>
        <v>0.22106324096640001</v>
      </c>
      <c r="C15" s="52">
        <f>#REF!*28</f>
        <v>0.21298102549920001</v>
      </c>
      <c r="D15" s="52">
        <f>#REF!*28</f>
        <v>0.23763387523679999</v>
      </c>
      <c r="E15" s="52">
        <f>#REF!*28</f>
        <v>0.23763387523679999</v>
      </c>
      <c r="F15" s="52">
        <f>#REF!*28</f>
        <v>0.26996273710559998</v>
      </c>
      <c r="G15" s="52">
        <f>#REF!*28</f>
        <v>0.23722767190079999</v>
      </c>
      <c r="H15" s="52">
        <f>#REF!*28</f>
        <v>0.27158755044960003</v>
      </c>
      <c r="I15" s="52">
        <f>#REF!*28</f>
        <v>0.27966976591680004</v>
      </c>
      <c r="J15" s="52">
        <f>#REF!*28</f>
        <v>0.30513502232640005</v>
      </c>
      <c r="K15" s="52">
        <f>#REF!*28</f>
        <v>0.33868249420320001</v>
      </c>
      <c r="L15" s="52">
        <f>#REF!*28</f>
        <v>0.39657135443346442</v>
      </c>
      <c r="M15" s="52">
        <f>#REF!*28</f>
        <v>0.39788470639332896</v>
      </c>
      <c r="N15" s="52">
        <f>#REF!*28</f>
        <v>0.42344470475479351</v>
      </c>
      <c r="O15" s="52">
        <f>#REF!*28</f>
        <v>0.45708691858345796</v>
      </c>
      <c r="P15" s="52">
        <f>#REF!*28</f>
        <v>0.5956683237564947</v>
      </c>
      <c r="Q15" s="52">
        <f>#REF!*28</f>
        <v>0.55353151318665939</v>
      </c>
      <c r="R15" s="52">
        <f>#REF!*28</f>
        <v>0.66186981102956433</v>
      </c>
      <c r="S15" s="52">
        <f>#REF!*28</f>
        <v>0.52268235710257205</v>
      </c>
      <c r="T15" s="52">
        <f>#REF!*28</f>
        <v>0.54175086790965166</v>
      </c>
      <c r="U15" s="52">
        <f>#REF!*28</f>
        <v>0.52795575440973042</v>
      </c>
      <c r="V15" s="52">
        <f>#REF!*28</f>
        <v>0.52953406123784363</v>
      </c>
      <c r="W15" s="52">
        <f>#REF!*28</f>
        <v>0.45970684184045141</v>
      </c>
      <c r="X15" s="52">
        <f>#REF!*28</f>
        <v>0.48581834639105737</v>
      </c>
      <c r="Y15" s="52">
        <f>#REF!*28</f>
        <v>0.47520260340643389</v>
      </c>
      <c r="Z15" s="52">
        <f>#REF!*28</f>
        <v>0.5948784358116489</v>
      </c>
      <c r="AA15" s="52">
        <f>#REF!*28</f>
        <v>0.58673424707931132</v>
      </c>
      <c r="AB15" s="52">
        <f>#REF!*28</f>
        <v>0.70507902857586824</v>
      </c>
      <c r="AC15" s="52">
        <f>#REF!*28</f>
        <v>0.62258359080101755</v>
      </c>
      <c r="AD15" s="52">
        <f>#REF!*28</f>
        <v>0.68860676251063224</v>
      </c>
      <c r="AE15" s="52">
        <f>#REF!*28</f>
        <v>0.733395094269359</v>
      </c>
      <c r="AF15" s="52">
        <f>#REF!*28</f>
        <v>0.89689221451907786</v>
      </c>
      <c r="AG15" s="52">
        <f>#REF!*28</f>
        <v>0.95908972204794551</v>
      </c>
      <c r="AH15" s="52">
        <f>#REF!*28</f>
        <v>0.81568264916737254</v>
      </c>
      <c r="AI15" s="52">
        <f>#REF!*28</f>
        <v>0.85769767616692261</v>
      </c>
      <c r="AJ15" s="52">
        <f>#REF!*28</f>
        <v>0.8068389078142042</v>
      </c>
      <c r="AK15" s="52">
        <f>#REF!*28</f>
        <v>0.85590541892460414</v>
      </c>
      <c r="AL15" s="15">
        <f t="shared" si="2"/>
        <v>5.6447003214444387E-5</v>
      </c>
      <c r="AM15" s="15">
        <f t="shared" si="3"/>
        <v>2.8717672607301341</v>
      </c>
      <c r="AN15" s="6"/>
      <c r="AO15" s="16">
        <f t="shared" si="4"/>
        <v>6.0813268466843443E-2</v>
      </c>
      <c r="AP15" s="17">
        <f t="shared" si="5"/>
        <v>4.9066511110399946E-2</v>
      </c>
    </row>
    <row r="16" spans="1:42" outlineLevel="1" x14ac:dyDescent="0.25">
      <c r="A16" s="51" t="s">
        <v>23</v>
      </c>
      <c r="B16" s="52">
        <f>#REF!*28</f>
        <v>3.7281445618532062E-2</v>
      </c>
      <c r="C16" s="52">
        <f>#REF!*28</f>
        <v>3.7750817164246567E-2</v>
      </c>
      <c r="D16" s="52">
        <f>#REF!*28</f>
        <v>3.7792191749642351E-2</v>
      </c>
      <c r="E16" s="52">
        <f>#REF!*28</f>
        <v>2.6380434832204126E-2</v>
      </c>
      <c r="F16" s="52">
        <f>#REF!*28</f>
        <v>2.2639371289269319E-2</v>
      </c>
      <c r="G16" s="52">
        <f>#REF!*28</f>
        <v>6.3522673438242278E-2</v>
      </c>
      <c r="H16" s="52">
        <f>#REF!*28</f>
        <v>6.8483348569996313E-2</v>
      </c>
      <c r="I16" s="52">
        <f>#REF!*28</f>
        <v>5.3288878652534968E-2</v>
      </c>
      <c r="J16" s="52">
        <f>#REF!*28</f>
        <v>3.5227893141079318E-2</v>
      </c>
      <c r="K16" s="52">
        <f>#REF!*28</f>
        <v>4.8511551306499999E-2</v>
      </c>
      <c r="L16" s="52">
        <f>#REF!*28</f>
        <v>3.0341912013839779E-2</v>
      </c>
      <c r="M16" s="52">
        <f>#REF!*28</f>
        <v>5.215900154188241E-2</v>
      </c>
      <c r="N16" s="52">
        <f>#REF!*28</f>
        <v>5.2625356479402995E-2</v>
      </c>
      <c r="O16" s="52">
        <f>#REF!*28</f>
        <v>5.4090611314868184E-2</v>
      </c>
      <c r="P16" s="52">
        <f>#REF!*28</f>
        <v>5.9242537829124031E-2</v>
      </c>
      <c r="Q16" s="52">
        <f>#REF!*28</f>
        <v>7.519131815769621E-2</v>
      </c>
      <c r="R16" s="52">
        <f>#REF!*28</f>
        <v>7.4503584958842253E-2</v>
      </c>
      <c r="S16" s="52">
        <f>#REF!*28</f>
        <v>6.3447316122887065E-2</v>
      </c>
      <c r="T16" s="52">
        <f>#REF!*28</f>
        <v>7.0560886565141187E-2</v>
      </c>
      <c r="U16" s="52">
        <f>#REF!*28</f>
        <v>7.2678481940501985E-2</v>
      </c>
      <c r="V16" s="52">
        <f>#REF!*28</f>
        <v>7.8994592608578953E-2</v>
      </c>
      <c r="W16" s="52">
        <f>#REF!*28</f>
        <v>7.3776517900690203E-2</v>
      </c>
      <c r="X16" s="52">
        <f>#REF!*28</f>
        <v>6.8221564002233281E-2</v>
      </c>
      <c r="Y16" s="52">
        <f>#REF!*28</f>
        <v>7.2440984011761758E-2</v>
      </c>
      <c r="Z16" s="52">
        <f>#REF!*28</f>
        <v>7.1875033454173287E-2</v>
      </c>
      <c r="AA16" s="52">
        <f>#REF!*28</f>
        <v>6.7447788974575817E-2</v>
      </c>
      <c r="AB16" s="52">
        <f>#REF!*28</f>
        <v>6.7852587157488792E-2</v>
      </c>
      <c r="AC16" s="52">
        <f>#REF!*28</f>
        <v>6.3751676731367168E-2</v>
      </c>
      <c r="AD16" s="52">
        <f>#REF!*28</f>
        <v>7.0238333873532233E-2</v>
      </c>
      <c r="AE16" s="52">
        <f>#REF!*28</f>
        <v>7.0928878678759924E-2</v>
      </c>
      <c r="AF16" s="52">
        <f>#REF!*28</f>
        <v>7.3553667549016183E-2</v>
      </c>
      <c r="AG16" s="52">
        <f>#REF!*28</f>
        <v>7.5406355811664216E-2</v>
      </c>
      <c r="AH16" s="52">
        <f>#REF!*28</f>
        <v>7.5603362569325289E-2</v>
      </c>
      <c r="AI16" s="52">
        <f>#REF!*28</f>
        <v>7.3746731582306782E-2</v>
      </c>
      <c r="AJ16" s="52">
        <f>#REF!*28</f>
        <v>7.6826215136115567E-2</v>
      </c>
      <c r="AK16" s="52">
        <f>#REF!*28</f>
        <v>7.8890982676322177E-2</v>
      </c>
      <c r="AL16" s="15">
        <f t="shared" si="2"/>
        <v>5.202864071495391E-6</v>
      </c>
      <c r="AM16" s="15">
        <f t="shared" si="3"/>
        <v>1.1160923716194799</v>
      </c>
      <c r="AN16" s="6"/>
      <c r="AO16" s="16">
        <f t="shared" si="4"/>
        <v>2.6875820142231312E-2</v>
      </c>
      <c r="AP16" s="17">
        <f t="shared" si="5"/>
        <v>2.0647675402066107E-3</v>
      </c>
    </row>
    <row r="17" spans="1:48" x14ac:dyDescent="0.25">
      <c r="A17" s="53" t="s">
        <v>24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9"/>
      <c r="AM17" s="9"/>
      <c r="AN17" s="6"/>
      <c r="AO17" s="11"/>
      <c r="AP17" s="12"/>
    </row>
    <row r="18" spans="1:48" outlineLevel="1" x14ac:dyDescent="0.25">
      <c r="A18" s="51" t="s">
        <v>25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15"/>
      <c r="AM18" s="15"/>
      <c r="AN18" s="6"/>
      <c r="AO18" s="16"/>
      <c r="AP18" s="17"/>
    </row>
    <row r="19" spans="1:48" outlineLevel="1" x14ac:dyDescent="0.25">
      <c r="A19" s="51" t="s">
        <v>26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15"/>
      <c r="AM19" s="15"/>
      <c r="AN19" s="6"/>
      <c r="AO19" s="16"/>
      <c r="AP19" s="17"/>
    </row>
    <row r="20" spans="1:48" outlineLevel="1" x14ac:dyDescent="0.25">
      <c r="A20" s="51" t="s">
        <v>27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15"/>
      <c r="AM20" s="15"/>
      <c r="AN20" s="6"/>
      <c r="AO20" s="16"/>
      <c r="AP20" s="17"/>
    </row>
    <row r="21" spans="1:48" outlineLevel="1" x14ac:dyDescent="0.25">
      <c r="A21" s="51" t="s">
        <v>28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15"/>
      <c r="AM21" s="15"/>
      <c r="AN21" s="6"/>
      <c r="AO21" s="16"/>
      <c r="AP21" s="17"/>
    </row>
    <row r="22" spans="1:48" outlineLevel="1" x14ac:dyDescent="0.25">
      <c r="A22" s="51" t="s">
        <v>29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15"/>
      <c r="AM22" s="15"/>
      <c r="AN22" s="6"/>
      <c r="AO22" s="16"/>
      <c r="AP22" s="17"/>
    </row>
    <row r="23" spans="1:48" x14ac:dyDescent="0.25">
      <c r="A23" s="53" t="s">
        <v>30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9"/>
      <c r="AM23" s="9"/>
      <c r="AN23" s="6"/>
      <c r="AO23" s="11"/>
      <c r="AP23" s="12"/>
      <c r="AV23" s="10"/>
    </row>
    <row r="24" spans="1:48" x14ac:dyDescent="0.25">
      <c r="A24" s="53" t="s">
        <v>31</v>
      </c>
      <c r="B24" s="50">
        <f t="shared" ref="B24:AA24" si="8">SUM(B25:B31)</f>
        <v>14296.61122545953</v>
      </c>
      <c r="C24" s="50">
        <f t="shared" si="8"/>
        <v>14473.48089112478</v>
      </c>
      <c r="D24" s="50">
        <f t="shared" si="8"/>
        <v>14701.926589183424</v>
      </c>
      <c r="E24" s="50">
        <f t="shared" si="8"/>
        <v>14708.418713931249</v>
      </c>
      <c r="F24" s="50">
        <f t="shared" si="8"/>
        <v>14648.208637396554</v>
      </c>
      <c r="G24" s="50">
        <f t="shared" si="8"/>
        <v>14693.044334478504</v>
      </c>
      <c r="H24" s="50">
        <f t="shared" si="8"/>
        <v>15104.620106173707</v>
      </c>
      <c r="I24" s="50">
        <f t="shared" si="8"/>
        <v>15431.557680039527</v>
      </c>
      <c r="J24" s="50">
        <f t="shared" si="8"/>
        <v>15631.51285707382</v>
      </c>
      <c r="K24" s="50">
        <f t="shared" si="8"/>
        <v>15186.470111149567</v>
      </c>
      <c r="L24" s="50">
        <f t="shared" si="8"/>
        <v>14534.520508488507</v>
      </c>
      <c r="M24" s="50">
        <f t="shared" si="8"/>
        <v>14453.478499241093</v>
      </c>
      <c r="N24" s="50">
        <f t="shared" si="8"/>
        <v>14308.867527357956</v>
      </c>
      <c r="O24" s="50">
        <f t="shared" si="8"/>
        <v>14267.560834554821</v>
      </c>
      <c r="P24" s="50">
        <f t="shared" si="8"/>
        <v>14213.35357239475</v>
      </c>
      <c r="Q24" s="50">
        <f t="shared" si="8"/>
        <v>13811.995891239154</v>
      </c>
      <c r="R24" s="50">
        <f t="shared" si="8"/>
        <v>13582.903488090646</v>
      </c>
      <c r="S24" s="50">
        <f t="shared" si="8"/>
        <v>13526.451273078006</v>
      </c>
      <c r="T24" s="50">
        <f t="shared" si="8"/>
        <v>13349.211335294476</v>
      </c>
      <c r="U24" s="50">
        <f t="shared" si="8"/>
        <v>13135.044243408855</v>
      </c>
      <c r="V24" s="50">
        <f t="shared" si="8"/>
        <v>12936.867398914428</v>
      </c>
      <c r="W24" s="50">
        <f t="shared" si="8"/>
        <v>13010.466506376781</v>
      </c>
      <c r="X24" s="50">
        <f t="shared" si="8"/>
        <v>13370.045041527168</v>
      </c>
      <c r="Y24" s="50">
        <f t="shared" si="8"/>
        <v>13406.861879658954</v>
      </c>
      <c r="Z24" s="50">
        <f t="shared" si="8"/>
        <v>13786.412830157145</v>
      </c>
      <c r="AA24" s="50">
        <f t="shared" si="8"/>
        <v>14154.826414483736</v>
      </c>
      <c r="AB24" s="50">
        <f>SUM(AB25:AB31)</f>
        <v>14590.720946407077</v>
      </c>
      <c r="AC24" s="50">
        <f>SUM(AC25:AC31)</f>
        <v>15016.62435767691</v>
      </c>
      <c r="AD24" s="50">
        <f t="shared" ref="AD24:AK24" si="9">SUM(AD25:AD31)</f>
        <v>14898.413956146755</v>
      </c>
      <c r="AE24" s="50">
        <f t="shared" si="9"/>
        <v>15099.220980327362</v>
      </c>
      <c r="AF24" s="50">
        <f t="shared" si="9"/>
        <v>15270.283468735061</v>
      </c>
      <c r="AG24" s="50">
        <f t="shared" si="9"/>
        <v>15301.636836269672</v>
      </c>
      <c r="AH24" s="50">
        <f t="shared" si="9"/>
        <v>15292.140295511646</v>
      </c>
      <c r="AI24" s="50">
        <f t="shared" si="9"/>
        <v>14950.112477752955</v>
      </c>
      <c r="AJ24" s="50">
        <f t="shared" si="9"/>
        <v>14554.97335075798</v>
      </c>
      <c r="AK24" s="50">
        <f t="shared" si="9"/>
        <v>14303.728787474562</v>
      </c>
      <c r="AL24" s="9">
        <f>AK24/$AK$47</f>
        <v>0.94333159598355176</v>
      </c>
      <c r="AM24" s="9">
        <f>(AK24-B24)/B24</f>
        <v>4.9784958846447222E-4</v>
      </c>
      <c r="AN24" s="6"/>
      <c r="AO24" s="11">
        <f>(AK24-AJ24)/AJ24</f>
        <v>-1.7261767316828148E-2</v>
      </c>
      <c r="AP24" s="12">
        <f>AK24-AJ24</f>
        <v>-251.24456328341876</v>
      </c>
      <c r="AS24" s="54"/>
      <c r="AT24" s="54"/>
      <c r="AU24" s="54"/>
    </row>
    <row r="25" spans="1:48" outlineLevel="1" x14ac:dyDescent="0.25">
      <c r="A25" s="51" t="s">
        <v>32</v>
      </c>
      <c r="B25" s="52">
        <f>#REF!</f>
        <v>12480.172254775534</v>
      </c>
      <c r="C25" s="52">
        <f>#REF!</f>
        <v>12637.185400482977</v>
      </c>
      <c r="D25" s="52">
        <f>#REF!</f>
        <v>12829.661388949207</v>
      </c>
      <c r="E25" s="52">
        <f>#REF!</f>
        <v>12832.961327585786</v>
      </c>
      <c r="F25" s="52">
        <f>#REF!</f>
        <v>12783.895165753058</v>
      </c>
      <c r="G25" s="52">
        <f>#REF!</f>
        <v>12826.69675958985</v>
      </c>
      <c r="H25" s="52">
        <f>#REF!</f>
        <v>13171.052879886071</v>
      </c>
      <c r="I25" s="52">
        <f>#REF!</f>
        <v>13456.31261039856</v>
      </c>
      <c r="J25" s="52">
        <f>#REF!</f>
        <v>13635.427259586366</v>
      </c>
      <c r="K25" s="52">
        <f>#REF!</f>
        <v>13255.947013862778</v>
      </c>
      <c r="L25" s="52">
        <f>#REF!</f>
        <v>12685.166488716532</v>
      </c>
      <c r="M25" s="52">
        <f>#REF!</f>
        <v>12595.141690442057</v>
      </c>
      <c r="N25" s="52">
        <f>#REF!</f>
        <v>12456.879348700151</v>
      </c>
      <c r="O25" s="52">
        <f>#REF!</f>
        <v>12439.716020069503</v>
      </c>
      <c r="P25" s="52">
        <f>#REF!</f>
        <v>12398.020226636896</v>
      </c>
      <c r="Q25" s="52">
        <f>#REF!</f>
        <v>12016.18723329971</v>
      </c>
      <c r="R25" s="52">
        <f>#REF!</f>
        <v>11834.227430297326</v>
      </c>
      <c r="S25" s="52">
        <f>#REF!</f>
        <v>11761.129885381855</v>
      </c>
      <c r="T25" s="52">
        <f>#REF!</f>
        <v>11612.331058102023</v>
      </c>
      <c r="U25" s="52">
        <f>#REF!</f>
        <v>11403.602820352538</v>
      </c>
      <c r="V25" s="52">
        <f>#REF!</f>
        <v>11205.417874590234</v>
      </c>
      <c r="W25" s="52">
        <f>#REF!</f>
        <v>11247.423461791974</v>
      </c>
      <c r="X25" s="52">
        <f>#REF!</f>
        <v>11565.560327349578</v>
      </c>
      <c r="Y25" s="52">
        <f>#REF!</f>
        <v>11596.485149457974</v>
      </c>
      <c r="Z25" s="52">
        <f>#REF!</f>
        <v>11901.192075200464</v>
      </c>
      <c r="AA25" s="52">
        <f>#REF!</f>
        <v>12226.016539933107</v>
      </c>
      <c r="AB25" s="52">
        <f>#REF!</f>
        <v>12628.465103097811</v>
      </c>
      <c r="AC25" s="52">
        <f>#REF!</f>
        <v>12977.795392757302</v>
      </c>
      <c r="AD25" s="52">
        <f>#REF!</f>
        <v>12916.599385858823</v>
      </c>
      <c r="AE25" s="52">
        <f>#REF!</f>
        <v>13091.203534766764</v>
      </c>
      <c r="AF25" s="52">
        <f>#REF!</f>
        <v>13260.189768763996</v>
      </c>
      <c r="AG25" s="52">
        <f>#REF!</f>
        <v>13328.638890777194</v>
      </c>
      <c r="AH25" s="52">
        <f>#REF!</f>
        <v>13356.734293082372</v>
      </c>
      <c r="AI25" s="52">
        <f>#REF!</f>
        <v>13059.766159156707</v>
      </c>
      <c r="AJ25" s="52">
        <f>#REF!</f>
        <v>12696.142673001888</v>
      </c>
      <c r="AK25" s="52">
        <f>#REF!</f>
        <v>12473.615496901708</v>
      </c>
      <c r="AL25" s="15">
        <f>AK25/$AK$47</f>
        <v>0.82263553715317383</v>
      </c>
      <c r="AM25" s="15">
        <f>(AK25-B25)/B25</f>
        <v>-5.2537398843333159E-4</v>
      </c>
      <c r="AN25" s="6"/>
      <c r="AO25" s="16">
        <f>(AK25-AJ25)/AJ25</f>
        <v>-1.7527148349819693E-2</v>
      </c>
      <c r="AP25" s="17">
        <f>AK25-AJ25</f>
        <v>-222.52717610018044</v>
      </c>
    </row>
    <row r="26" spans="1:48" outlineLevel="1" x14ac:dyDescent="0.25">
      <c r="A26" s="51" t="s">
        <v>33</v>
      </c>
      <c r="B26" s="52">
        <f>#REF!*28</f>
        <v>1815.0122234162354</v>
      </c>
      <c r="C26" s="52">
        <f>#REF!*28</f>
        <v>1834.8040612145428</v>
      </c>
      <c r="D26" s="52">
        <f>#REF!*28</f>
        <v>1870.740214551307</v>
      </c>
      <c r="E26" s="52">
        <f>#REF!*28</f>
        <v>1873.8947865953633</v>
      </c>
      <c r="F26" s="52">
        <f>#REF!*28</f>
        <v>1862.5659850752409</v>
      </c>
      <c r="G26" s="52">
        <f>#REF!*28</f>
        <v>1864.280123069821</v>
      </c>
      <c r="H26" s="52">
        <f>#REF!*28</f>
        <v>1931.8828651111808</v>
      </c>
      <c r="I26" s="52">
        <f>#REF!*28</f>
        <v>1973.5571257937888</v>
      </c>
      <c r="J26" s="52">
        <f>#REF!*28</f>
        <v>1994.3759532999834</v>
      </c>
      <c r="K26" s="52">
        <f>#REF!*28</f>
        <v>1928.7798518461905</v>
      </c>
      <c r="L26" s="52">
        <f>#REF!*28</f>
        <v>1847.5672440000174</v>
      </c>
      <c r="M26" s="52">
        <f>#REF!*28</f>
        <v>1856.5277078657355</v>
      </c>
      <c r="N26" s="52">
        <f>#REF!*28</f>
        <v>1850.2164479189391</v>
      </c>
      <c r="O26" s="52">
        <f>#REF!*28</f>
        <v>1825.9526866631074</v>
      </c>
      <c r="P26" s="52">
        <f>#REF!*28</f>
        <v>1813.4527805128587</v>
      </c>
      <c r="Q26" s="52">
        <f>#REF!*28</f>
        <v>1793.8662866377256</v>
      </c>
      <c r="R26" s="52">
        <f>#REF!*28</f>
        <v>1746.839089382082</v>
      </c>
      <c r="S26" s="52">
        <f>#REF!*28</f>
        <v>1763.582999448802</v>
      </c>
      <c r="T26" s="52">
        <f>#REF!*28</f>
        <v>1735.070767663703</v>
      </c>
      <c r="U26" s="52">
        <f>#REF!*28</f>
        <v>1729.88276350504</v>
      </c>
      <c r="V26" s="52">
        <f>#REF!*28</f>
        <v>1730.0162540687188</v>
      </c>
      <c r="W26" s="52">
        <f>#REF!*28</f>
        <v>1761.6959870126402</v>
      </c>
      <c r="X26" s="52">
        <f>#REF!*28</f>
        <v>1803.1753831686519</v>
      </c>
      <c r="Y26" s="52">
        <f>#REF!*28</f>
        <v>1809.1959086677948</v>
      </c>
      <c r="Z26" s="52">
        <f>#REF!*28</f>
        <v>1884.1510419182214</v>
      </c>
      <c r="AA26" s="52">
        <f>#REF!*28</f>
        <v>1927.7958419502243</v>
      </c>
      <c r="AB26" s="52">
        <f>#REF!*28</f>
        <v>1961.2137833494276</v>
      </c>
      <c r="AC26" s="52">
        <f>#REF!*28</f>
        <v>2037.7256671091563</v>
      </c>
      <c r="AD26" s="52">
        <f>#REF!*28</f>
        <v>1980.6169701213744</v>
      </c>
      <c r="AE26" s="52">
        <f>#REF!*28</f>
        <v>2006.8170477967988</v>
      </c>
      <c r="AF26" s="52">
        <f>#REF!*28</f>
        <v>2008.8622213701558</v>
      </c>
      <c r="AG26" s="52">
        <f>#REF!*28</f>
        <v>1971.7830177268124</v>
      </c>
      <c r="AH26" s="52">
        <f>#REF!*28</f>
        <v>1933.8558190873509</v>
      </c>
      <c r="AI26" s="52">
        <f>#REF!*28</f>
        <v>1888.9843850751249</v>
      </c>
      <c r="AJ26" s="52">
        <f>#REF!*28</f>
        <v>1857.4369926790512</v>
      </c>
      <c r="AK26" s="52">
        <f>#REF!*28</f>
        <v>1828.6054483285775</v>
      </c>
      <c r="AL26" s="15">
        <f>AK26/$AK$47</f>
        <v>0.12059661656242676</v>
      </c>
      <c r="AM26" s="15">
        <f>(AK26-B26)/B26</f>
        <v>7.4893296788694635E-3</v>
      </c>
      <c r="AN26" s="6"/>
      <c r="AO26" s="16">
        <f>(AK26-AJ26)/AJ26</f>
        <v>-1.5522219307632534E-2</v>
      </c>
      <c r="AP26" s="17">
        <f>AK26-AJ26</f>
        <v>-28.831544350473678</v>
      </c>
    </row>
    <row r="27" spans="1:48" outlineLevel="1" x14ac:dyDescent="0.25">
      <c r="A27" s="51" t="s">
        <v>34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15"/>
      <c r="AM27" s="15"/>
      <c r="AN27" s="6"/>
      <c r="AO27" s="16"/>
      <c r="AP27" s="17"/>
    </row>
    <row r="28" spans="1:48" outlineLevel="1" x14ac:dyDescent="0.25">
      <c r="A28" s="51" t="s">
        <v>35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15"/>
      <c r="AM28" s="15"/>
      <c r="AN28" s="6"/>
      <c r="AO28" s="16"/>
      <c r="AP28" s="17"/>
    </row>
    <row r="29" spans="1:48" outlineLevel="1" x14ac:dyDescent="0.25">
      <c r="A29" s="51" t="s">
        <v>36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15"/>
      <c r="AM29" s="15"/>
      <c r="AN29" s="6"/>
      <c r="AO29" s="16"/>
      <c r="AP29" s="17"/>
    </row>
    <row r="30" spans="1:48" outlineLevel="1" x14ac:dyDescent="0.25">
      <c r="A30" s="51" t="s">
        <v>37</v>
      </c>
      <c r="B30" s="52">
        <f>#REF!*28</f>
        <v>1.1942962729850881</v>
      </c>
      <c r="C30" s="52">
        <f>#REF!*28</f>
        <v>1.2402307450229759</v>
      </c>
      <c r="D30" s="52">
        <f>#REF!*28</f>
        <v>1.2574561720371842</v>
      </c>
      <c r="E30" s="52">
        <f>#REF!*28</f>
        <v>1.26319798104192</v>
      </c>
      <c r="F30" s="52">
        <f>#REF!*28</f>
        <v>1.4354522511840004</v>
      </c>
      <c r="G30" s="52">
        <f>#REF!*28</f>
        <v>1.6478991843592323</v>
      </c>
      <c r="H30" s="52">
        <f>#REF!*28</f>
        <v>1.3263578800940161</v>
      </c>
      <c r="I30" s="52">
        <f>#REF!*28</f>
        <v>1.3722923521319041</v>
      </c>
      <c r="J30" s="52">
        <f>#REF!*28</f>
        <v>1.3608087341224322</v>
      </c>
      <c r="K30" s="52">
        <f>#REF!*28</f>
        <v>1.4354522511840004</v>
      </c>
      <c r="L30" s="52">
        <f>#REF!*28</f>
        <v>1.4871285322266246</v>
      </c>
      <c r="M30" s="52">
        <f>#REF!*28</f>
        <v>1.5043539592408317</v>
      </c>
      <c r="N30" s="52">
        <f>#REF!*28</f>
        <v>1.5100957682455682</v>
      </c>
      <c r="O30" s="52">
        <f>#REF!*28</f>
        <v>1.5158375772503041</v>
      </c>
      <c r="P30" s="52">
        <f>#REF!*28</f>
        <v>1.4526776781982078</v>
      </c>
      <c r="Q30" s="52">
        <f>#REF!*28</f>
        <v>1.5588331887713374</v>
      </c>
      <c r="R30" s="52">
        <f>#REF!*28</f>
        <v>1.4943742918600025</v>
      </c>
      <c r="S30" s="52">
        <f>#REF!*28</f>
        <v>1.4188954016444404</v>
      </c>
      <c r="T30" s="52">
        <f>#REF!*28</f>
        <v>1.535235293209303</v>
      </c>
      <c r="U30" s="52">
        <f>#REF!*28</f>
        <v>1.3022028824810103</v>
      </c>
      <c r="V30" s="52">
        <f>#REF!*28</f>
        <v>1.2316887916571064</v>
      </c>
      <c r="W30" s="52">
        <f>#REF!*28</f>
        <v>1.1800862709133131</v>
      </c>
      <c r="X30" s="52">
        <f>#REF!*28</f>
        <v>1.1244916909042133</v>
      </c>
      <c r="Y30" s="52">
        <f>#REF!*28</f>
        <v>0.97514562992536613</v>
      </c>
      <c r="Z30" s="52">
        <f>#REF!*28</f>
        <v>0.87374463450025286</v>
      </c>
      <c r="AA30" s="52">
        <f>#REF!*28</f>
        <v>0.84174160375290374</v>
      </c>
      <c r="AB30" s="52">
        <f>#REF!*28</f>
        <v>0.88385303952656535</v>
      </c>
      <c r="AC30" s="52">
        <f>#REF!*28</f>
        <v>0.91595595676820241</v>
      </c>
      <c r="AD30" s="52">
        <f>#REF!*28</f>
        <v>0.97398428036400442</v>
      </c>
      <c r="AE30" s="52">
        <f>#REF!*28</f>
        <v>1.0073247245168104</v>
      </c>
      <c r="AF30" s="52">
        <f>#REF!*28</f>
        <v>1.0740985805761101</v>
      </c>
      <c r="AG30" s="52">
        <f>#REF!*28</f>
        <v>1.0609489966292294</v>
      </c>
      <c r="AH30" s="52">
        <f>#REF!*28</f>
        <v>1.4083247864299766</v>
      </c>
      <c r="AI30" s="52">
        <f>#REF!*28</f>
        <v>1.1946298719054</v>
      </c>
      <c r="AJ30" s="52">
        <f>#REF!*28</f>
        <v>1.2212464725954653</v>
      </c>
      <c r="AK30" s="52">
        <f>#REF!*28</f>
        <v>1.335403639831676</v>
      </c>
      <c r="AL30" s="15">
        <f t="shared" ref="AL30:AL36" si="10">AK30/$AK$47</f>
        <v>8.8069933760752896E-5</v>
      </c>
      <c r="AM30" s="15">
        <f>(AK30-B30)/B30</f>
        <v>0.11815105685115851</v>
      </c>
      <c r="AN30" s="6"/>
      <c r="AO30" s="16">
        <f t="shared" ref="AO30:AO42" si="11">(AK30-AJ30)/AJ30</f>
        <v>9.3475944289605317E-2</v>
      </c>
      <c r="AP30" s="17">
        <f t="shared" ref="AP30:AP42" si="12">AK30-AJ30</f>
        <v>0.11415716723621072</v>
      </c>
    </row>
    <row r="31" spans="1:48" outlineLevel="1" x14ac:dyDescent="0.25">
      <c r="A31" s="51" t="s">
        <v>38</v>
      </c>
      <c r="B31" s="52">
        <f>#REF!*28</f>
        <v>0.23245099477638104</v>
      </c>
      <c r="C31" s="52">
        <f>#REF!*28</f>
        <v>0.25119868223655095</v>
      </c>
      <c r="D31" s="52">
        <f>#REF!*28</f>
        <v>0.26752951087031024</v>
      </c>
      <c r="E31" s="52">
        <f>#REF!*28</f>
        <v>0.29940176905806171</v>
      </c>
      <c r="F31" s="52">
        <f>#REF!*28</f>
        <v>0.31203431707154183</v>
      </c>
      <c r="G31" s="52">
        <f>#REF!*28</f>
        <v>0.41955263447303986</v>
      </c>
      <c r="H31" s="52">
        <f>#REF!*28</f>
        <v>0.3580032963604512</v>
      </c>
      <c r="I31" s="52">
        <f>#REF!*28</f>
        <v>0.31565149504663947</v>
      </c>
      <c r="J31" s="52">
        <f>#REF!*28</f>
        <v>0.34883545334912736</v>
      </c>
      <c r="K31" s="52">
        <f>#REF!*28</f>
        <v>0.30779318941284733</v>
      </c>
      <c r="L31" s="52">
        <f>#REF!*28</f>
        <v>0.29964723973081125</v>
      </c>
      <c r="M31" s="52">
        <f>#REF!*28</f>
        <v>0.30474697405982781</v>
      </c>
      <c r="N31" s="52">
        <f>#REF!*28</f>
        <v>0.26163497061851432</v>
      </c>
      <c r="O31" s="52">
        <f>#REF!*28</f>
        <v>0.37629024495971908</v>
      </c>
      <c r="P31" s="52">
        <f>#REF!*28</f>
        <v>0.427887566796959</v>
      </c>
      <c r="Q31" s="52">
        <f>#REF!*28</f>
        <v>0.38353811294568896</v>
      </c>
      <c r="R31" s="52">
        <f>#REF!*28</f>
        <v>0.34259411937781581</v>
      </c>
      <c r="S31" s="52">
        <f>#REF!*28</f>
        <v>0.31949284570530023</v>
      </c>
      <c r="T31" s="52">
        <f>#REF!*28</f>
        <v>0.27427423553950336</v>
      </c>
      <c r="U31" s="52">
        <f>#REF!*28</f>
        <v>0.25645666879442186</v>
      </c>
      <c r="V31" s="52">
        <f>#REF!*28</f>
        <v>0.20158146382025358</v>
      </c>
      <c r="W31" s="52">
        <f>#REF!*28</f>
        <v>0.16697130125419568</v>
      </c>
      <c r="X31" s="52">
        <f>#REF!*28</f>
        <v>0.18483931803424603</v>
      </c>
      <c r="Y31" s="52">
        <f>#REF!*28</f>
        <v>0.20567590326082344</v>
      </c>
      <c r="Z31" s="52">
        <f>#REF!*28</f>
        <v>0.19596840395919296</v>
      </c>
      <c r="AA31" s="52">
        <f>#REF!*28</f>
        <v>0.17229099664990233</v>
      </c>
      <c r="AB31" s="52">
        <f>#REF!*28</f>
        <v>0.15820692031277997</v>
      </c>
      <c r="AC31" s="52">
        <f>#REF!*28</f>
        <v>0.1873418536841088</v>
      </c>
      <c r="AD31" s="52">
        <f>#REF!*28</f>
        <v>0.22361588619326617</v>
      </c>
      <c r="AE31" s="52">
        <f>#REF!*28</f>
        <v>0.19307303928159145</v>
      </c>
      <c r="AF31" s="52">
        <f>#REF!*28</f>
        <v>0.15738002033103224</v>
      </c>
      <c r="AG31" s="52">
        <f>#REF!*28</f>
        <v>0.15397876903678637</v>
      </c>
      <c r="AH31" s="52">
        <f>#REF!*28</f>
        <v>0.14185855549373882</v>
      </c>
      <c r="AI31" s="52">
        <f>#REF!*28</f>
        <v>0.16730364921793134</v>
      </c>
      <c r="AJ31" s="52">
        <f>#REF!*28</f>
        <v>0.17243860444390097</v>
      </c>
      <c r="AK31" s="52">
        <f>#REF!*28</f>
        <v>0.17243860444390097</v>
      </c>
      <c r="AL31" s="15">
        <f t="shared" si="10"/>
        <v>1.1372334190346573E-5</v>
      </c>
      <c r="AM31" s="15">
        <f>(AK31-B31)/B31</f>
        <v>-0.2581722241722918</v>
      </c>
      <c r="AN31" s="6"/>
      <c r="AO31" s="16">
        <f t="shared" si="11"/>
        <v>0</v>
      </c>
      <c r="AP31" s="17">
        <f t="shared" si="12"/>
        <v>0</v>
      </c>
    </row>
    <row r="32" spans="1:48" x14ac:dyDescent="0.25">
      <c r="A32" s="53" t="s">
        <v>39</v>
      </c>
      <c r="B32" s="50">
        <f t="shared" ref="B32:AA32" si="13">SUM(B33:B36)</f>
        <v>1545.8533528449464</v>
      </c>
      <c r="C32" s="50">
        <f t="shared" si="13"/>
        <v>1636.4310230730002</v>
      </c>
      <c r="D32" s="50">
        <f t="shared" si="13"/>
        <v>1707.4564657481867</v>
      </c>
      <c r="E32" s="50">
        <f t="shared" si="13"/>
        <v>1762.9557530360016</v>
      </c>
      <c r="F32" s="50">
        <f t="shared" si="13"/>
        <v>1814.1734518897417</v>
      </c>
      <c r="G32" s="50">
        <f t="shared" si="13"/>
        <v>1855.5442917242906</v>
      </c>
      <c r="H32" s="50">
        <f t="shared" si="13"/>
        <v>1719.7433407843723</v>
      </c>
      <c r="I32" s="50">
        <f t="shared" si="13"/>
        <v>1426.7889917224798</v>
      </c>
      <c r="J32" s="50">
        <f t="shared" si="13"/>
        <v>1491.7878195649241</v>
      </c>
      <c r="K32" s="50">
        <f t="shared" si="13"/>
        <v>1485.9722837918493</v>
      </c>
      <c r="L32" s="50">
        <f t="shared" si="13"/>
        <v>1492.11576211641</v>
      </c>
      <c r="M32" s="50">
        <f t="shared" si="13"/>
        <v>1603.6360880070492</v>
      </c>
      <c r="N32" s="50">
        <f t="shared" si="13"/>
        <v>1692.0379743831249</v>
      </c>
      <c r="O32" s="50">
        <f t="shared" si="13"/>
        <v>1700.2311130246194</v>
      </c>
      <c r="P32" s="50">
        <f t="shared" si="13"/>
        <v>1420.8423171483739</v>
      </c>
      <c r="Q32" s="50">
        <f t="shared" si="13"/>
        <v>1228.0428250627112</v>
      </c>
      <c r="R32" s="50">
        <f t="shared" si="13"/>
        <v>1267.9669809603931</v>
      </c>
      <c r="S32" s="50">
        <f t="shared" si="13"/>
        <v>782.67459143853944</v>
      </c>
      <c r="T32" s="50">
        <f t="shared" si="13"/>
        <v>630.03307393572265</v>
      </c>
      <c r="U32" s="50">
        <f t="shared" si="13"/>
        <v>431.50104913659231</v>
      </c>
      <c r="V32" s="50">
        <f t="shared" si="13"/>
        <v>425.20946470706383</v>
      </c>
      <c r="W32" s="50">
        <f t="shared" si="13"/>
        <v>538.60833820407549</v>
      </c>
      <c r="X32" s="50">
        <f t="shared" si="13"/>
        <v>442.39309750265301</v>
      </c>
      <c r="Y32" s="50">
        <f t="shared" si="13"/>
        <v>611.27527692937008</v>
      </c>
      <c r="Z32" s="50">
        <f t="shared" si="13"/>
        <v>807.56127017131234</v>
      </c>
      <c r="AA32" s="50">
        <f t="shared" si="13"/>
        <v>877.82244571768877</v>
      </c>
      <c r="AB32" s="50">
        <f>SUM(AB33:AB36)</f>
        <v>886.09872806261285</v>
      </c>
      <c r="AC32" s="50">
        <f>SUM(AC33:AC36)</f>
        <v>843.78871353156399</v>
      </c>
      <c r="AD32" s="50">
        <f t="shared" ref="AD32:AK32" si="14">SUM(AD33:AD36)</f>
        <v>801.21700013199973</v>
      </c>
      <c r="AE32" s="50">
        <f t="shared" si="14"/>
        <v>755.1788530789895</v>
      </c>
      <c r="AF32" s="50">
        <f t="shared" si="14"/>
        <v>736.18401532207838</v>
      </c>
      <c r="AG32" s="50">
        <f t="shared" si="14"/>
        <v>678.84939421406955</v>
      </c>
      <c r="AH32" s="50">
        <f t="shared" si="14"/>
        <v>721.41221176025488</v>
      </c>
      <c r="AI32" s="50">
        <f t="shared" si="14"/>
        <v>681.96186767746383</v>
      </c>
      <c r="AJ32" s="50">
        <f t="shared" si="14"/>
        <v>679.58568718146489</v>
      </c>
      <c r="AK32" s="50">
        <f t="shared" si="14"/>
        <v>675.17448660856348</v>
      </c>
      <c r="AL32" s="9">
        <f t="shared" si="10"/>
        <v>4.4527789605292398E-2</v>
      </c>
      <c r="AM32" s="9">
        <f>(AK32-B32)/B32</f>
        <v>-0.56323509900470781</v>
      </c>
      <c r="AN32" s="6"/>
      <c r="AO32" s="11">
        <f t="shared" si="11"/>
        <v>-6.4910145344534249E-3</v>
      </c>
      <c r="AP32" s="12">
        <f t="shared" si="12"/>
        <v>-4.4112005729014072</v>
      </c>
    </row>
    <row r="33" spans="1:42" outlineLevel="1" x14ac:dyDescent="0.25">
      <c r="A33" s="51" t="s">
        <v>40</v>
      </c>
      <c r="B33" s="52">
        <f>#REF!*28</f>
        <v>1476.2440052032955</v>
      </c>
      <c r="C33" s="52">
        <f>#REF!*28</f>
        <v>1566.4053883747692</v>
      </c>
      <c r="D33" s="52">
        <f>#REF!*28</f>
        <v>1636.804891871742</v>
      </c>
      <c r="E33" s="52">
        <f>#REF!*28</f>
        <v>1691.858702032943</v>
      </c>
      <c r="F33" s="52">
        <f>#REF!*28</f>
        <v>1742.7939278700369</v>
      </c>
      <c r="G33" s="52">
        <f>#REF!*28</f>
        <v>1783.8901811031583</v>
      </c>
      <c r="H33" s="52">
        <f>#REF!*28</f>
        <v>1648.4623349545939</v>
      </c>
      <c r="I33" s="52">
        <f>#REF!*28</f>
        <v>1358.1527343397249</v>
      </c>
      <c r="J33" s="52">
        <f>#REF!*28</f>
        <v>1414.9422289801573</v>
      </c>
      <c r="K33" s="52">
        <f>#REF!*28</f>
        <v>1412.537929922556</v>
      </c>
      <c r="L33" s="52">
        <f>#REF!*28</f>
        <v>1420.2367306818162</v>
      </c>
      <c r="M33" s="52">
        <f>#REF!*28</f>
        <v>1528.0990541803956</v>
      </c>
      <c r="N33" s="52">
        <f>#REF!*28</f>
        <v>1610.0739135694294</v>
      </c>
      <c r="O33" s="52">
        <f>#REF!*28</f>
        <v>1631.9172338696078</v>
      </c>
      <c r="P33" s="52">
        <f>#REF!*28</f>
        <v>1340.4552857027031</v>
      </c>
      <c r="Q33" s="52">
        <f>#REF!*28</f>
        <v>1139.7880884758854</v>
      </c>
      <c r="R33" s="52">
        <f>#REF!*28</f>
        <v>1191.2278376327126</v>
      </c>
      <c r="S33" s="52">
        <f>#REF!*28</f>
        <v>708.99528198119174</v>
      </c>
      <c r="T33" s="52">
        <f>#REF!*28</f>
        <v>540.93260898724964</v>
      </c>
      <c r="U33" s="52">
        <f>#REF!*28</f>
        <v>342.15331319283058</v>
      </c>
      <c r="V33" s="52">
        <f>#REF!*28</f>
        <v>336.5209219157008</v>
      </c>
      <c r="W33" s="52">
        <f>#REF!*28</f>
        <v>449.98575791706236</v>
      </c>
      <c r="X33" s="52">
        <f>#REF!*28</f>
        <v>356.45668877291683</v>
      </c>
      <c r="Y33" s="52">
        <f>#REF!*28</f>
        <v>525.3000661606543</v>
      </c>
      <c r="Z33" s="52">
        <f>#REF!*28</f>
        <v>721.54404316658145</v>
      </c>
      <c r="AA33" s="52">
        <f>#REF!*28</f>
        <v>792.34928466402675</v>
      </c>
      <c r="AB33" s="52">
        <f>#REF!*28</f>
        <v>803.00803713759967</v>
      </c>
      <c r="AC33" s="52">
        <f>#REF!*28</f>
        <v>755.84955540806993</v>
      </c>
      <c r="AD33" s="52">
        <f>#REF!*28</f>
        <v>713.81602356686335</v>
      </c>
      <c r="AE33" s="52">
        <f>#REF!*28</f>
        <v>664.48948116698216</v>
      </c>
      <c r="AF33" s="52">
        <f>#REF!*28</f>
        <v>643.63993385548952</v>
      </c>
      <c r="AG33" s="52">
        <f>#REF!*28</f>
        <v>589.42534621307084</v>
      </c>
      <c r="AH33" s="52">
        <f>#REF!*28</f>
        <v>634.02948442666207</v>
      </c>
      <c r="AI33" s="52">
        <f>#REF!*28</f>
        <v>593.87082029161502</v>
      </c>
      <c r="AJ33" s="52">
        <f>#REF!*28</f>
        <v>585.61538143807229</v>
      </c>
      <c r="AK33" s="52">
        <f>#REF!*28</f>
        <v>580.47174916662448</v>
      </c>
      <c r="AL33" s="15">
        <f t="shared" si="10"/>
        <v>3.828213955260508E-2</v>
      </c>
      <c r="AM33" s="15">
        <f>(AK33-B33)/B33</f>
        <v>-0.60679146054402644</v>
      </c>
      <c r="AN33" s="6"/>
      <c r="AO33" s="16">
        <f t="shared" si="11"/>
        <v>-8.7832943506654521E-3</v>
      </c>
      <c r="AP33" s="17">
        <f t="shared" si="12"/>
        <v>-5.1436322714478138</v>
      </c>
    </row>
    <row r="34" spans="1:42" outlineLevel="1" x14ac:dyDescent="0.25">
      <c r="A34" s="51" t="s">
        <v>41</v>
      </c>
      <c r="B34" s="52">
        <f>#REF!*28</f>
        <v>0</v>
      </c>
      <c r="C34" s="52">
        <f>#REF!*28</f>
        <v>0</v>
      </c>
      <c r="D34" s="52">
        <f>#REF!*28</f>
        <v>0</v>
      </c>
      <c r="E34" s="52">
        <f>#REF!*28</f>
        <v>0</v>
      </c>
      <c r="F34" s="52">
        <f>#REF!*28</f>
        <v>0</v>
      </c>
      <c r="G34" s="52">
        <f>#REF!*28</f>
        <v>0</v>
      </c>
      <c r="H34" s="52">
        <f>#REF!*28</f>
        <v>0</v>
      </c>
      <c r="I34" s="52">
        <f>#REF!*28</f>
        <v>0</v>
      </c>
      <c r="J34" s="52">
        <f>#REF!*28</f>
        <v>0</v>
      </c>
      <c r="K34" s="52">
        <f>#REF!*28</f>
        <v>0</v>
      </c>
      <c r="L34" s="52">
        <f>#REF!*28</f>
        <v>0</v>
      </c>
      <c r="M34" s="52">
        <f>#REF!*28</f>
        <v>2.4900959999999999</v>
      </c>
      <c r="N34" s="52">
        <f>#REF!*28</f>
        <v>3.809456</v>
      </c>
      <c r="O34" s="52">
        <f>#REF!*28</f>
        <v>5.298496000000001</v>
      </c>
      <c r="P34" s="52">
        <f>#REF!*28</f>
        <v>22.298192</v>
      </c>
      <c r="Q34" s="52">
        <f>#REF!*28</f>
        <v>30.391311999999999</v>
      </c>
      <c r="R34" s="52">
        <f>#REF!*28</f>
        <v>24.359216000000004</v>
      </c>
      <c r="S34" s="52">
        <f>#REF!*28</f>
        <v>24.078208</v>
      </c>
      <c r="T34" s="52">
        <f>#REF!*28</f>
        <v>31.763984000000008</v>
      </c>
      <c r="U34" s="52">
        <f>#REF!*28</f>
        <v>31.332112000000002</v>
      </c>
      <c r="V34" s="52">
        <f>#REF!*28</f>
        <v>31.929632000000002</v>
      </c>
      <c r="W34" s="52">
        <f>#REF!*28</f>
        <v>31.837680000000006</v>
      </c>
      <c r="X34" s="52">
        <f>#REF!*28</f>
        <v>28.954822400000001</v>
      </c>
      <c r="Y34" s="52">
        <f>#REF!*28</f>
        <v>29.267369599999999</v>
      </c>
      <c r="Z34" s="52">
        <f>#REF!*28</f>
        <v>27.261673600000002</v>
      </c>
      <c r="AA34" s="52">
        <f>#REF!*28</f>
        <v>26.894537600000003</v>
      </c>
      <c r="AB34" s="52">
        <f>#REF!*28</f>
        <v>26.463606400000003</v>
      </c>
      <c r="AC34" s="52">
        <f>#REF!*28</f>
        <v>30.662008703648002</v>
      </c>
      <c r="AD34" s="52">
        <f>#REF!*28</f>
        <v>30.254681222505177</v>
      </c>
      <c r="AE34" s="52">
        <f>#REF!*28</f>
        <v>32.834295251569422</v>
      </c>
      <c r="AF34" s="52">
        <f>#REF!*28</f>
        <v>32.416733959680002</v>
      </c>
      <c r="AG34" s="52">
        <f>#REF!*28</f>
        <v>29.52624403215404</v>
      </c>
      <c r="AH34" s="52">
        <f>#REF!*28</f>
        <v>26.317898498226089</v>
      </c>
      <c r="AI34" s="52">
        <f>#REF!*28</f>
        <v>26.603120794879995</v>
      </c>
      <c r="AJ34" s="52">
        <f>#REF!*28</f>
        <v>31.204285895446912</v>
      </c>
      <c r="AK34" s="52">
        <f>#REF!*28</f>
        <v>30.760912177996516</v>
      </c>
      <c r="AL34" s="15">
        <f t="shared" si="10"/>
        <v>2.0286836257822141E-3</v>
      </c>
      <c r="AM34" s="15"/>
      <c r="AN34" s="6"/>
      <c r="AO34" s="16">
        <f t="shared" si="11"/>
        <v>-1.4208744239043426E-2</v>
      </c>
      <c r="AP34" s="17">
        <f t="shared" si="12"/>
        <v>-0.44337371745039533</v>
      </c>
    </row>
    <row r="35" spans="1:42" outlineLevel="1" x14ac:dyDescent="0.25">
      <c r="A35" s="51" t="s">
        <v>42</v>
      </c>
      <c r="B35" s="52">
        <f>((#REF!)+(#REF!))*28</f>
        <v>1.1779349611935386</v>
      </c>
      <c r="C35" s="52">
        <f>((#REF!)+(#REF!))*28</f>
        <v>1.2057842539705816</v>
      </c>
      <c r="D35" s="52">
        <f>((#REF!)+(#REF!))*28</f>
        <v>1.2695622463787344</v>
      </c>
      <c r="E35" s="52">
        <f>((#REF!)+(#REF!))*28</f>
        <v>1.3324574548748893</v>
      </c>
      <c r="F35" s="52">
        <f>((#REF!)+(#REF!))*28</f>
        <v>1.3846005412257598</v>
      </c>
      <c r="G35" s="52">
        <f>((#REF!)+(#REF!))*28</f>
        <v>1.4277152328069249</v>
      </c>
      <c r="H35" s="52">
        <f>((#REF!)+(#REF!))*28</f>
        <v>1.4207752519495596</v>
      </c>
      <c r="I35" s="52">
        <f>((#REF!)+(#REF!))*28</f>
        <v>1.3347369822182993</v>
      </c>
      <c r="J35" s="52">
        <f>((#REF!)+(#REF!))*28</f>
        <v>1.2470279094229331</v>
      </c>
      <c r="K35" s="52">
        <f>((#REF!)+(#REF!))*28</f>
        <v>1.7551463147289148</v>
      </c>
      <c r="L35" s="52">
        <f>((#REF!)+(#REF!))*28</f>
        <v>1.9370612898135577</v>
      </c>
      <c r="M35" s="52">
        <f>((#REF!)+(#REF!))*28</f>
        <v>2.4531643983209555</v>
      </c>
      <c r="N35" s="52">
        <f>((#REF!)+(#REF!))*28</f>
        <v>5.1662822081664492</v>
      </c>
      <c r="O35" s="52">
        <f>((#REF!)+(#REF!))*28</f>
        <v>6.7155622153360222</v>
      </c>
      <c r="P35" s="52">
        <f>((#REF!)+(#REF!))*28</f>
        <v>4.0344038128801643</v>
      </c>
      <c r="Q35" s="52">
        <f>((#REF!)+(#REF!))*28</f>
        <v>2.5988953145014158</v>
      </c>
      <c r="R35" s="52">
        <f>((#REF!)+(#REF!))*28</f>
        <v>2.6893045184890765</v>
      </c>
      <c r="S35" s="52">
        <f>((#REF!)+(#REF!))*28</f>
        <v>0.10223215731509611</v>
      </c>
      <c r="T35" s="52">
        <f>((#REF!)+(#REF!))*28</f>
        <v>0.37857766303444418</v>
      </c>
      <c r="U35" s="52">
        <f>((#REF!)+(#REF!))*28</f>
        <v>0.3845294244172312</v>
      </c>
      <c r="V35" s="52">
        <f>((#REF!)+(#REF!))*28</f>
        <v>0.47333342247502797</v>
      </c>
      <c r="W35" s="52">
        <f>((#REF!)+(#REF!))*28</f>
        <v>0.71233430442835366</v>
      </c>
      <c r="X35" s="52">
        <f>((#REF!)+(#REF!))*28</f>
        <v>0.24030637516196035</v>
      </c>
      <c r="Y35" s="52">
        <f>((#REF!)+(#REF!))*28</f>
        <v>0.15701558181070208</v>
      </c>
      <c r="Z35" s="52">
        <f>((#REF!)+(#REF!))*28</f>
        <v>0.14752146077944381</v>
      </c>
      <c r="AA35" s="52">
        <f>((#REF!)+(#REF!))*28</f>
        <v>0.15852450002021107</v>
      </c>
      <c r="AB35" s="52">
        <f>((#REF!)+(#REF!))*28</f>
        <v>0.15024223644577753</v>
      </c>
      <c r="AC35" s="52">
        <f>((#REF!)+(#REF!))*28</f>
        <v>0.159117169382678</v>
      </c>
      <c r="AD35" s="52">
        <f>((#REF!)+(#REF!))*28</f>
        <v>0.18693369275639657</v>
      </c>
      <c r="AE35" s="52">
        <f>((#REF!)+(#REF!))*28</f>
        <v>0.24937412962223801</v>
      </c>
      <c r="AF35" s="52">
        <f>((#REF!)+(#REF!))*28</f>
        <v>0.14803042929423491</v>
      </c>
      <c r="AG35" s="52">
        <f>((#REF!)+(#REF!))*28</f>
        <v>0.13416081552804118</v>
      </c>
      <c r="AH35" s="52">
        <f>((#REF!)+(#REF!))*28</f>
        <v>6.2940208391392916E-2</v>
      </c>
      <c r="AI35" s="52">
        <f>((#REF!)+(#REF!))*28</f>
        <v>4.645009660446385E-2</v>
      </c>
      <c r="AJ35" s="52">
        <f>((#REF!)+(#REF!))*28</f>
        <v>4.7610118325725349E-2</v>
      </c>
      <c r="AK35" s="52">
        <f>((#REF!)+(#REF!))*28</f>
        <v>4.7610118325725349E-2</v>
      </c>
      <c r="AL35" s="15">
        <f t="shared" si="10"/>
        <v>3.1398895751225883E-6</v>
      </c>
      <c r="AM35" s="15">
        <f t="shared" ref="AM35:AM41" si="15">(AK35-B35)/B35</f>
        <v>-0.9595817087579398</v>
      </c>
      <c r="AN35" s="6"/>
      <c r="AO35" s="16">
        <f t="shared" si="11"/>
        <v>0</v>
      </c>
      <c r="AP35" s="17">
        <f t="shared" si="12"/>
        <v>0</v>
      </c>
    </row>
    <row r="36" spans="1:42" outlineLevel="1" x14ac:dyDescent="0.25">
      <c r="A36" s="51" t="s">
        <v>43</v>
      </c>
      <c r="B36" s="52">
        <f>#REF!*28</f>
        <v>68.431412680457285</v>
      </c>
      <c r="C36" s="52">
        <f>#REF!*28</f>
        <v>68.81985044426041</v>
      </c>
      <c r="D36" s="52">
        <f>#REF!*28</f>
        <v>69.382011630065975</v>
      </c>
      <c r="E36" s="52">
        <f>#REF!*28</f>
        <v>69.764593548183669</v>
      </c>
      <c r="F36" s="52">
        <f>#REF!*28</f>
        <v>69.994923478478995</v>
      </c>
      <c r="G36" s="52">
        <f>#REF!*28</f>
        <v>70.226395388325329</v>
      </c>
      <c r="H36" s="52">
        <f>#REF!*28</f>
        <v>69.860230577828744</v>
      </c>
      <c r="I36" s="52">
        <f>#REF!*28</f>
        <v>67.30152040053656</v>
      </c>
      <c r="J36" s="52">
        <f>#REF!*28</f>
        <v>75.598562675343885</v>
      </c>
      <c r="K36" s="52">
        <f>#REF!*28</f>
        <v>71.679207554564357</v>
      </c>
      <c r="L36" s="52">
        <f>#REF!*28</f>
        <v>69.941970144780214</v>
      </c>
      <c r="M36" s="52">
        <f>#REF!*28</f>
        <v>70.59377342833281</v>
      </c>
      <c r="N36" s="52">
        <f>#REF!*28</f>
        <v>72.988322605529277</v>
      </c>
      <c r="O36" s="52">
        <f>#REF!*28</f>
        <v>56.299820939675442</v>
      </c>
      <c r="P36" s="52">
        <f>#REF!*28</f>
        <v>54.054435632790678</v>
      </c>
      <c r="Q36" s="52">
        <f>#REF!*28</f>
        <v>55.264529272324481</v>
      </c>
      <c r="R36" s="52">
        <f>#REF!*28</f>
        <v>49.690622809191481</v>
      </c>
      <c r="S36" s="52">
        <f>#REF!*28</f>
        <v>49.498869300032538</v>
      </c>
      <c r="T36" s="52">
        <f>#REF!*28</f>
        <v>56.957903285438583</v>
      </c>
      <c r="U36" s="52">
        <f>#REF!*28</f>
        <v>57.631094519344487</v>
      </c>
      <c r="V36" s="52">
        <f>#REF!*28</f>
        <v>56.285577368887949</v>
      </c>
      <c r="W36" s="52">
        <f>#REF!*28</f>
        <v>56.072565982584713</v>
      </c>
      <c r="X36" s="52">
        <f>#REF!*28</f>
        <v>56.74127995457421</v>
      </c>
      <c r="Y36" s="52">
        <f>#REF!*28</f>
        <v>56.550825586905034</v>
      </c>
      <c r="Z36" s="52">
        <f>#REF!*28</f>
        <v>58.608031943951488</v>
      </c>
      <c r="AA36" s="52">
        <f>#REF!*28</f>
        <v>58.420098953641713</v>
      </c>
      <c r="AB36" s="52">
        <f>#REF!*28</f>
        <v>56.476842288567326</v>
      </c>
      <c r="AC36" s="52">
        <f>#REF!*28</f>
        <v>57.118032250463457</v>
      </c>
      <c r="AD36" s="52">
        <f>#REF!*28</f>
        <v>56.959361649874879</v>
      </c>
      <c r="AE36" s="52">
        <f>#REF!*28</f>
        <v>57.605702530815783</v>
      </c>
      <c r="AF36" s="52">
        <f>#REF!*28</f>
        <v>59.979317077614752</v>
      </c>
      <c r="AG36" s="52">
        <f>#REF!*28</f>
        <v>59.763643153316629</v>
      </c>
      <c r="AH36" s="52">
        <f>#REF!*28</f>
        <v>61.001888626975358</v>
      </c>
      <c r="AI36" s="52">
        <f>#REF!*28</f>
        <v>61.441476494364451</v>
      </c>
      <c r="AJ36" s="52">
        <f>#REF!*28</f>
        <v>62.718409729620028</v>
      </c>
      <c r="AK36" s="52">
        <f>#REF!*28</f>
        <v>63.894215145616883</v>
      </c>
      <c r="AL36" s="15">
        <f t="shared" si="10"/>
        <v>4.2138265373299882E-3</v>
      </c>
      <c r="AM36" s="15">
        <f t="shared" si="15"/>
        <v>-6.6302847729112269E-2</v>
      </c>
      <c r="AN36" s="6"/>
      <c r="AO36" s="16">
        <f t="shared" si="11"/>
        <v>1.8747372917549559E-2</v>
      </c>
      <c r="AP36" s="17">
        <f t="shared" si="12"/>
        <v>1.1758054159968552</v>
      </c>
    </row>
    <row r="37" spans="1:42" x14ac:dyDescent="0.25">
      <c r="A37" s="53" t="s">
        <v>44</v>
      </c>
      <c r="B37" s="50">
        <f>SUM(B38:B45)</f>
        <v>4080.0702360941709</v>
      </c>
      <c r="C37" s="50">
        <f t="shared" ref="C37:AK37" si="16">SUM(C38:C45)</f>
        <v>4021.1021437757654</v>
      </c>
      <c r="D37" s="50">
        <f t="shared" si="16"/>
        <v>3974.8511540887566</v>
      </c>
      <c r="E37" s="50">
        <f t="shared" si="16"/>
        <v>3975.5911073539901</v>
      </c>
      <c r="F37" s="50">
        <f t="shared" si="16"/>
        <v>3962.0608429974272</v>
      </c>
      <c r="G37" s="50">
        <f t="shared" si="16"/>
        <v>3956.3350228957511</v>
      </c>
      <c r="H37" s="50">
        <f t="shared" si="16"/>
        <v>3941.5752302307546</v>
      </c>
      <c r="I37" s="50">
        <f t="shared" si="16"/>
        <v>3862.1853907886207</v>
      </c>
      <c r="J37" s="50">
        <f t="shared" si="16"/>
        <v>3814.1414529995914</v>
      </c>
      <c r="K37" s="50">
        <f t="shared" si="16"/>
        <v>3791.4128695870645</v>
      </c>
      <c r="L37" s="50">
        <f t="shared" si="16"/>
        <v>3805.5960845791033</v>
      </c>
      <c r="M37" s="50">
        <f t="shared" si="16"/>
        <v>3997.502020630599</v>
      </c>
      <c r="N37" s="50">
        <f t="shared" si="16"/>
        <v>3689.0380432670154</v>
      </c>
      <c r="O37" s="50">
        <f t="shared" si="16"/>
        <v>3894.4709195713112</v>
      </c>
      <c r="P37" s="50">
        <f t="shared" si="16"/>
        <v>3792.7732480663567</v>
      </c>
      <c r="Q37" s="50">
        <f t="shared" si="16"/>
        <v>3795.8922494669127</v>
      </c>
      <c r="R37" s="50">
        <f t="shared" si="16"/>
        <v>3762.2966241464342</v>
      </c>
      <c r="S37" s="50">
        <f t="shared" si="16"/>
        <v>3712.7854617967841</v>
      </c>
      <c r="T37" s="50">
        <f t="shared" si="16"/>
        <v>3684.0668900364972</v>
      </c>
      <c r="U37" s="50">
        <f t="shared" si="16"/>
        <v>3670.5197832053673</v>
      </c>
      <c r="V37" s="50">
        <f t="shared" si="16"/>
        <v>3927.7207748194141</v>
      </c>
      <c r="W37" s="50">
        <f t="shared" si="16"/>
        <v>3722.1398883902621</v>
      </c>
      <c r="X37" s="50">
        <f t="shared" si="16"/>
        <v>3584.4188004216967</v>
      </c>
      <c r="Y37" s="50">
        <f t="shared" si="16"/>
        <v>3600.8450040486168</v>
      </c>
      <c r="Z37" s="50">
        <f t="shared" si="16"/>
        <v>3603.2356962772838</v>
      </c>
      <c r="AA37" s="50">
        <f t="shared" si="16"/>
        <v>3536.785246868023</v>
      </c>
      <c r="AB37" s="50">
        <f t="shared" si="16"/>
        <v>3471.9501826901178</v>
      </c>
      <c r="AC37" s="50">
        <f t="shared" si="16"/>
        <v>3751.1898137884855</v>
      </c>
      <c r="AD37" s="50">
        <f t="shared" si="16"/>
        <v>3546.9388661669891</v>
      </c>
      <c r="AE37" s="50">
        <f t="shared" si="16"/>
        <v>3524.4865114438862</v>
      </c>
      <c r="AF37" s="50">
        <f t="shared" si="16"/>
        <v>3494.9833401099386</v>
      </c>
      <c r="AG37" s="50">
        <f t="shared" si="16"/>
        <v>3540.2806440687937</v>
      </c>
      <c r="AH37" s="50">
        <f t="shared" si="16"/>
        <v>3567.6647934295065</v>
      </c>
      <c r="AI37" s="50">
        <f t="shared" si="16"/>
        <v>3647.1917005696605</v>
      </c>
      <c r="AJ37" s="50">
        <f t="shared" si="16"/>
        <v>3599.652891629109</v>
      </c>
      <c r="AK37" s="50">
        <f t="shared" si="16"/>
        <v>3561.5357566026159</v>
      </c>
      <c r="AL37" s="9">
        <f t="shared" ref="AL37:AL42" si="17">AK37/$AK$48</f>
        <v>0.19020698065787106</v>
      </c>
      <c r="AM37" s="9">
        <f t="shared" si="15"/>
        <v>-0.12708959637615092</v>
      </c>
      <c r="AN37" s="56"/>
      <c r="AO37" s="11">
        <f t="shared" si="11"/>
        <v>-1.0589114054617156E-2</v>
      </c>
      <c r="AP37" s="12">
        <f t="shared" si="12"/>
        <v>-38.117135026493088</v>
      </c>
    </row>
    <row r="38" spans="1:42" outlineLevel="1" x14ac:dyDescent="0.25">
      <c r="A38" s="51" t="s">
        <v>45</v>
      </c>
      <c r="B38" s="52">
        <v>57.846935279957265</v>
      </c>
      <c r="C38" s="52">
        <v>57.433176944148613</v>
      </c>
      <c r="D38" s="52">
        <v>57.451290594883361</v>
      </c>
      <c r="E38" s="52">
        <v>60.389596035037727</v>
      </c>
      <c r="F38" s="52">
        <v>62.391730778657887</v>
      </c>
      <c r="G38" s="52">
        <v>66.294205253284986</v>
      </c>
      <c r="H38" s="52">
        <v>71.260840592333111</v>
      </c>
      <c r="I38" s="52">
        <v>66.727829013665101</v>
      </c>
      <c r="J38" s="52">
        <v>66.059522810907339</v>
      </c>
      <c r="K38" s="52">
        <v>65.871166410208787</v>
      </c>
      <c r="L38" s="52">
        <v>68.626355175877677</v>
      </c>
      <c r="M38" s="52">
        <v>73.390777247694558</v>
      </c>
      <c r="N38" s="52">
        <v>68.41636114187132</v>
      </c>
      <c r="O38" s="52">
        <v>74.8783791380785</v>
      </c>
      <c r="P38" s="52">
        <v>73.377400669133962</v>
      </c>
      <c r="Q38" s="52">
        <v>70.315650402391455</v>
      </c>
      <c r="R38" s="52">
        <v>73.245250162604734</v>
      </c>
      <c r="S38" s="52">
        <v>74.608947609634953</v>
      </c>
      <c r="T38" s="52">
        <v>73.914478542829613</v>
      </c>
      <c r="U38" s="52">
        <v>71.363046486769534</v>
      </c>
      <c r="V38" s="52">
        <v>83.059122625455672</v>
      </c>
      <c r="W38" s="52">
        <v>83.626618352388505</v>
      </c>
      <c r="X38" s="52">
        <v>71.430487774873583</v>
      </c>
      <c r="Y38" s="52">
        <v>74.402684682937263</v>
      </c>
      <c r="Z38" s="52">
        <v>74.290965688871239</v>
      </c>
      <c r="AA38" s="52">
        <v>73.632976641517175</v>
      </c>
      <c r="AB38" s="52">
        <v>72.835792285789182</v>
      </c>
      <c r="AC38" s="52">
        <v>89.007227851460797</v>
      </c>
      <c r="AD38" s="52">
        <v>76.551927704366264</v>
      </c>
      <c r="AE38" s="52">
        <v>72.944864227660574</v>
      </c>
      <c r="AF38" s="52">
        <v>74.711355377646669</v>
      </c>
      <c r="AG38" s="52">
        <v>73.060172181650572</v>
      </c>
      <c r="AH38" s="52">
        <v>73.290007745897256</v>
      </c>
      <c r="AI38" s="52">
        <v>74.221377412486831</v>
      </c>
      <c r="AJ38" s="52">
        <v>73.719916054181056</v>
      </c>
      <c r="AK38" s="52">
        <v>0</v>
      </c>
      <c r="AL38" s="15">
        <f t="shared" si="17"/>
        <v>0</v>
      </c>
      <c r="AM38" s="15">
        <f t="shared" si="15"/>
        <v>-1</v>
      </c>
      <c r="AN38" s="57"/>
      <c r="AO38" s="16">
        <f t="shared" si="11"/>
        <v>-1</v>
      </c>
      <c r="AP38" s="17">
        <f t="shared" si="12"/>
        <v>-73.719916054181056</v>
      </c>
    </row>
    <row r="39" spans="1:42" outlineLevel="1" x14ac:dyDescent="0.25">
      <c r="A39" s="51" t="s">
        <v>46</v>
      </c>
      <c r="B39" s="52">
        <v>4.9597397650058751E-2</v>
      </c>
      <c r="C39" s="52">
        <v>3.1874934222402791E-2</v>
      </c>
      <c r="D39" s="52">
        <v>2.0489207718160516E-2</v>
      </c>
      <c r="E39" s="52">
        <v>4.1309914752234028E-2</v>
      </c>
      <c r="F39" s="52">
        <v>4.7429902122935366E-2</v>
      </c>
      <c r="G39" s="52">
        <v>6.4769866339922488E-2</v>
      </c>
      <c r="H39" s="52">
        <v>7.2037351342630326E-2</v>
      </c>
      <c r="I39" s="52">
        <v>3.9397418698889859E-2</v>
      </c>
      <c r="J39" s="52">
        <v>2.0782457113006626E-2</v>
      </c>
      <c r="K39" s="52">
        <v>1.6957465006318288E-2</v>
      </c>
      <c r="L39" s="52">
        <v>4.2584912121130136E-2</v>
      </c>
      <c r="M39" s="52">
        <v>0.40279680000000001</v>
      </c>
      <c r="N39" s="52">
        <v>4.04838E-2</v>
      </c>
      <c r="O39" s="52">
        <v>0.203904</v>
      </c>
      <c r="P39" s="52">
        <v>0.44352000000000003</v>
      </c>
      <c r="Q39" s="52">
        <v>9.3420000000000003E-2</v>
      </c>
      <c r="R39" s="52">
        <v>1.7280000000000004E-2</v>
      </c>
      <c r="S39" s="52">
        <v>0</v>
      </c>
      <c r="T39" s="52">
        <v>1.6544303999813586E-2</v>
      </c>
      <c r="U39" s="52">
        <v>9.3429503998383751E-3</v>
      </c>
      <c r="V39" s="52">
        <v>1.6124127157523111E-2</v>
      </c>
      <c r="W39" s="52">
        <v>0</v>
      </c>
      <c r="X39" s="52">
        <v>1.9152000000000001E-3</v>
      </c>
      <c r="Y39" s="52">
        <v>0</v>
      </c>
      <c r="Z39" s="52">
        <v>0</v>
      </c>
      <c r="AA39" s="52">
        <v>0</v>
      </c>
      <c r="AB39" s="52">
        <v>0</v>
      </c>
      <c r="AC39" s="52">
        <v>0</v>
      </c>
      <c r="AD39" s="52">
        <v>1.512E-2</v>
      </c>
      <c r="AE39" s="52">
        <v>1.512E-2</v>
      </c>
      <c r="AF39" s="52">
        <v>0</v>
      </c>
      <c r="AG39" s="52">
        <v>1.728E-2</v>
      </c>
      <c r="AH39" s="52">
        <v>7.5599999999999999E-3</v>
      </c>
      <c r="AI39" s="52">
        <v>0.13608000000000001</v>
      </c>
      <c r="AJ39" s="52">
        <v>1.3305600000000001E-2</v>
      </c>
      <c r="AK39" s="52">
        <v>0.20887388250993422</v>
      </c>
      <c r="AL39" s="15">
        <f t="shared" si="17"/>
        <v>1.1155095230154204E-5</v>
      </c>
      <c r="AM39" s="15">
        <f t="shared" si="15"/>
        <v>3.2113879438528725</v>
      </c>
      <c r="AN39" s="57"/>
      <c r="AO39" s="16">
        <f t="shared" si="11"/>
        <v>14.698193430580673</v>
      </c>
      <c r="AP39" s="17">
        <f t="shared" si="12"/>
        <v>0.19556828250993422</v>
      </c>
    </row>
    <row r="40" spans="1:42" outlineLevel="1" x14ac:dyDescent="0.25">
      <c r="A40" s="51" t="s">
        <v>47</v>
      </c>
      <c r="B40" s="52">
        <v>1657.5382084477988</v>
      </c>
      <c r="C40" s="52">
        <v>1643.2781799674012</v>
      </c>
      <c r="D40" s="52">
        <v>1631.150986331701</v>
      </c>
      <c r="E40" s="52">
        <v>1614.8763171104849</v>
      </c>
      <c r="F40" s="52">
        <v>1610.8549146907992</v>
      </c>
      <c r="G40" s="52">
        <v>1609.5333298148937</v>
      </c>
      <c r="H40" s="52">
        <v>1605.8026815721455</v>
      </c>
      <c r="I40" s="52">
        <v>1592.417776708854</v>
      </c>
      <c r="J40" s="52">
        <v>1582.4076141967021</v>
      </c>
      <c r="K40" s="52">
        <v>1569.3440419533117</v>
      </c>
      <c r="L40" s="52">
        <v>1564.8479728117591</v>
      </c>
      <c r="M40" s="52">
        <v>1579.4146526409249</v>
      </c>
      <c r="N40" s="52">
        <v>1546.3150042214838</v>
      </c>
      <c r="O40" s="52">
        <v>1569.1846624898919</v>
      </c>
      <c r="P40" s="52">
        <v>1551.8941663024398</v>
      </c>
      <c r="Q40" s="52">
        <v>1543.9080760481474</v>
      </c>
      <c r="R40" s="52">
        <v>1533.2238638977819</v>
      </c>
      <c r="S40" s="52">
        <v>1515.1026172829766</v>
      </c>
      <c r="T40" s="52">
        <v>1494.0765175627332</v>
      </c>
      <c r="U40" s="52">
        <v>1480.345430190865</v>
      </c>
      <c r="V40" s="52">
        <v>1499.0276839135297</v>
      </c>
      <c r="W40" s="52">
        <v>1453.8233761717656</v>
      </c>
      <c r="X40" s="52">
        <v>1423.9286115922159</v>
      </c>
      <c r="Y40" s="52">
        <v>1415.2599377540444</v>
      </c>
      <c r="Z40" s="52">
        <v>1399.9082245601385</v>
      </c>
      <c r="AA40" s="52">
        <v>1375.0666186158919</v>
      </c>
      <c r="AB40" s="52">
        <v>1350.1923323065412</v>
      </c>
      <c r="AC40" s="52">
        <v>1360.3271970499904</v>
      </c>
      <c r="AD40" s="52">
        <v>1327.1274154705145</v>
      </c>
      <c r="AE40" s="52">
        <v>1306.0231835753248</v>
      </c>
      <c r="AF40" s="52">
        <v>1294.1636918229738</v>
      </c>
      <c r="AG40" s="52">
        <v>1285.6947546537033</v>
      </c>
      <c r="AH40" s="52">
        <v>1277.2586130987854</v>
      </c>
      <c r="AI40" s="52">
        <v>1285.7347138831226</v>
      </c>
      <c r="AJ40" s="52">
        <v>1276.1371171362525</v>
      </c>
      <c r="AK40" s="52">
        <v>1285.6041328833203</v>
      </c>
      <c r="AL40" s="15">
        <f t="shared" si="17"/>
        <v>6.8658830669799928E-2</v>
      </c>
      <c r="AM40" s="15">
        <f t="shared" si="15"/>
        <v>-0.22438944313252124</v>
      </c>
      <c r="AN40" s="57"/>
      <c r="AO40" s="16">
        <f t="shared" si="11"/>
        <v>7.4184941570483087E-3</v>
      </c>
      <c r="AP40" s="17">
        <f t="shared" si="12"/>
        <v>9.4670157470677623</v>
      </c>
    </row>
    <row r="41" spans="1:42" outlineLevel="1" x14ac:dyDescent="0.25">
      <c r="A41" s="51" t="s">
        <v>48</v>
      </c>
      <c r="B41" s="52">
        <v>2364.6354949687648</v>
      </c>
      <c r="C41" s="52">
        <v>2320.3589119299932</v>
      </c>
      <c r="D41" s="52">
        <v>2286.2283879544543</v>
      </c>
      <c r="E41" s="52">
        <v>2300.2838842937153</v>
      </c>
      <c r="F41" s="52">
        <v>2288.7667676258475</v>
      </c>
      <c r="G41" s="52">
        <v>2280.4427179612326</v>
      </c>
      <c r="H41" s="52">
        <v>2264.4396707149335</v>
      </c>
      <c r="I41" s="52">
        <v>2203.0003876474029</v>
      </c>
      <c r="J41" s="52">
        <v>2165.653533534869</v>
      </c>
      <c r="K41" s="52">
        <v>2156.1807037585377</v>
      </c>
      <c r="L41" s="52">
        <v>2172.0738608878455</v>
      </c>
      <c r="M41" s="52">
        <v>2344.2831723589793</v>
      </c>
      <c r="N41" s="52">
        <v>2074.2555725206598</v>
      </c>
      <c r="O41" s="52">
        <v>2250.1933523603407</v>
      </c>
      <c r="P41" s="52">
        <v>2167.0475395117828</v>
      </c>
      <c r="Q41" s="52">
        <v>2181.5644814333737</v>
      </c>
      <c r="R41" s="52">
        <v>2155.7625995030476</v>
      </c>
      <c r="S41" s="52">
        <v>2122.9522483211726</v>
      </c>
      <c r="T41" s="52">
        <v>2115.8636830439345</v>
      </c>
      <c r="U41" s="52">
        <v>2118.6062969943328</v>
      </c>
      <c r="V41" s="52">
        <v>2345.4221775702708</v>
      </c>
      <c r="W41" s="52">
        <v>2184.4942272831076</v>
      </c>
      <c r="X41" s="52">
        <v>2088.8621192716068</v>
      </c>
      <c r="Y41" s="52">
        <v>2110.986715028635</v>
      </c>
      <c r="Z41" s="52">
        <v>2128.840839445274</v>
      </c>
      <c r="AA41" s="52">
        <v>2087.8899850276134</v>
      </c>
      <c r="AB41" s="52">
        <v>2048.7263915147873</v>
      </c>
      <c r="AC41" s="52">
        <v>2301.6597223040339</v>
      </c>
      <c r="AD41" s="52">
        <v>2143.0487364091077</v>
      </c>
      <c r="AE41" s="52">
        <v>2145.3076770579009</v>
      </c>
      <c r="AF41" s="52">
        <v>2125.9179371178179</v>
      </c>
      <c r="AG41" s="52">
        <v>2181.3233922334393</v>
      </c>
      <c r="AH41" s="52">
        <v>2216.9228736660739</v>
      </c>
      <c r="AI41" s="52">
        <v>2286.9135257409512</v>
      </c>
      <c r="AJ41" s="52">
        <v>2249.5961306875242</v>
      </c>
      <c r="AK41" s="52">
        <v>2275.7227498367856</v>
      </c>
      <c r="AL41" s="15">
        <f t="shared" si="17"/>
        <v>0.12153699489284096</v>
      </c>
      <c r="AM41" s="15">
        <f t="shared" si="15"/>
        <v>-3.7601036320887002E-2</v>
      </c>
      <c r="AN41" s="57"/>
      <c r="AO41" s="16">
        <f t="shared" si="11"/>
        <v>1.16139154014621E-2</v>
      </c>
      <c r="AP41" s="17">
        <f t="shared" si="12"/>
        <v>26.126619149261387</v>
      </c>
    </row>
    <row r="42" spans="1:42" outlineLevel="1" x14ac:dyDescent="0.25">
      <c r="A42" s="51" t="s">
        <v>49</v>
      </c>
      <c r="B42" s="52">
        <v>0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3.7009E-2</v>
      </c>
      <c r="S42" s="52">
        <v>0.11102700000000003</v>
      </c>
      <c r="T42" s="52">
        <v>0.18504500000000002</v>
      </c>
      <c r="U42" s="52">
        <v>0.18504500000000002</v>
      </c>
      <c r="V42" s="52">
        <v>0.18504500000000002</v>
      </c>
      <c r="W42" s="52">
        <v>0.18504500000000002</v>
      </c>
      <c r="X42" s="52">
        <v>0.18504500000000002</v>
      </c>
      <c r="Y42" s="52">
        <v>0.18504500000000002</v>
      </c>
      <c r="Z42" s="52">
        <v>0.18504500000000002</v>
      </c>
      <c r="AA42" s="52">
        <v>0.18504500000000002</v>
      </c>
      <c r="AB42" s="52">
        <v>0.18504500000000002</v>
      </c>
      <c r="AC42" s="52">
        <v>0.18504500000000002</v>
      </c>
      <c r="AD42" s="52">
        <v>0.18504500000000002</v>
      </c>
      <c r="AE42" s="52">
        <v>0.18504500000000002</v>
      </c>
      <c r="AF42" s="52">
        <v>0.18504500000000002</v>
      </c>
      <c r="AG42" s="52">
        <v>0.18504500000000002</v>
      </c>
      <c r="AH42" s="52">
        <v>0.18573891874999998</v>
      </c>
      <c r="AI42" s="52">
        <v>0.18600353310000001</v>
      </c>
      <c r="AJ42" s="52">
        <v>0.18642215115124999</v>
      </c>
      <c r="AK42" s="52">
        <v>0</v>
      </c>
      <c r="AL42" s="15">
        <f t="shared" si="17"/>
        <v>0</v>
      </c>
      <c r="AM42" s="15"/>
      <c r="AN42" s="57"/>
      <c r="AO42" s="16">
        <f t="shared" si="11"/>
        <v>-1</v>
      </c>
      <c r="AP42" s="17">
        <f t="shared" si="12"/>
        <v>-0.18642215115124999</v>
      </c>
    </row>
    <row r="43" spans="1:42" outlineLevel="1" x14ac:dyDescent="0.25">
      <c r="A43" s="51" t="s">
        <v>50</v>
      </c>
      <c r="B43" s="52">
        <v>0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5.3107915000000002E-3</v>
      </c>
      <c r="M43" s="52">
        <v>1.0621583E-2</v>
      </c>
      <c r="N43" s="52">
        <v>1.0621583E-2</v>
      </c>
      <c r="O43" s="52">
        <v>1.0621583E-2</v>
      </c>
      <c r="P43" s="52">
        <v>1.0621583E-2</v>
      </c>
      <c r="Q43" s="52">
        <v>1.0621583E-2</v>
      </c>
      <c r="R43" s="52">
        <v>1.0621583E-2</v>
      </c>
      <c r="S43" s="52">
        <v>1.0621583E-2</v>
      </c>
      <c r="T43" s="52">
        <v>1.0621583E-2</v>
      </c>
      <c r="U43" s="52">
        <v>1.0621583E-2</v>
      </c>
      <c r="V43" s="52">
        <v>1.0621583E-2</v>
      </c>
      <c r="W43" s="52">
        <v>1.0621583E-2</v>
      </c>
      <c r="X43" s="52">
        <v>1.0621583E-2</v>
      </c>
      <c r="Y43" s="52">
        <v>1.0621583E-2</v>
      </c>
      <c r="Z43" s="52">
        <v>1.0621583E-2</v>
      </c>
      <c r="AA43" s="52">
        <v>1.0621583E-2</v>
      </c>
      <c r="AB43" s="52">
        <v>1.0621583E-2</v>
      </c>
      <c r="AC43" s="52">
        <v>1.0621583E-2</v>
      </c>
      <c r="AD43" s="52">
        <v>1.0621583E-2</v>
      </c>
      <c r="AE43" s="52">
        <v>1.0621583E-2</v>
      </c>
      <c r="AF43" s="52">
        <v>5.3107915000000002E-3</v>
      </c>
      <c r="AG43" s="52"/>
      <c r="AH43" s="52"/>
      <c r="AI43" s="52"/>
      <c r="AJ43" s="52"/>
      <c r="AK43" s="52"/>
      <c r="AL43" s="15"/>
      <c r="AM43" s="15"/>
      <c r="AN43" s="57"/>
      <c r="AO43" s="16"/>
      <c r="AP43" s="17"/>
    </row>
    <row r="44" spans="1:42" outlineLevel="1" x14ac:dyDescent="0.25">
      <c r="A44" s="51" t="s">
        <v>51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15"/>
      <c r="AM44" s="15"/>
      <c r="AN44" s="57"/>
      <c r="AO44" s="16"/>
      <c r="AP44" s="17"/>
    </row>
    <row r="45" spans="1:42" outlineLevel="1" x14ac:dyDescent="0.25">
      <c r="A45" s="51" t="s">
        <v>52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1"/>
      <c r="AM45" s="51"/>
      <c r="AN45" s="57"/>
      <c r="AO45" s="16"/>
      <c r="AP45" s="17"/>
    </row>
    <row r="46" spans="1:42" x14ac:dyDescent="0.25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32"/>
      <c r="U46" s="58"/>
      <c r="V46" s="58"/>
      <c r="W46" s="58"/>
      <c r="X46" s="58"/>
      <c r="Y46" s="58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28"/>
      <c r="AM46" s="6"/>
      <c r="AN46" s="6"/>
      <c r="AO46" s="29"/>
      <c r="AP46" s="23"/>
    </row>
    <row r="47" spans="1:42" x14ac:dyDescent="0.25">
      <c r="A47" s="60" t="s">
        <v>53</v>
      </c>
      <c r="B47" s="61">
        <f t="shared" ref="B47:AA47" si="18">SUM(B2,B7,B8,B9,B10,B11,B17,B23,B24,B32)</f>
        <v>16515.007556843197</v>
      </c>
      <c r="C47" s="61">
        <f t="shared" si="18"/>
        <v>16761.091053111271</v>
      </c>
      <c r="D47" s="61">
        <f t="shared" si="18"/>
        <v>16982.565012630141</v>
      </c>
      <c r="E47" s="61">
        <f t="shared" si="18"/>
        <v>17032.836396202187</v>
      </c>
      <c r="F47" s="61">
        <f t="shared" si="18"/>
        <v>16973.542739965098</v>
      </c>
      <c r="G47" s="61">
        <f t="shared" si="18"/>
        <v>17024.739892390862</v>
      </c>
      <c r="H47" s="61">
        <f t="shared" si="18"/>
        <v>17299.253789069826</v>
      </c>
      <c r="I47" s="61">
        <f t="shared" si="18"/>
        <v>17288.256629725893</v>
      </c>
      <c r="J47" s="61">
        <f t="shared" si="18"/>
        <v>17557.778495495855</v>
      </c>
      <c r="K47" s="61">
        <f t="shared" si="18"/>
        <v>17037.328429319841</v>
      </c>
      <c r="L47" s="61">
        <f t="shared" si="18"/>
        <v>16389.866792259458</v>
      </c>
      <c r="M47" s="61">
        <f t="shared" si="18"/>
        <v>16423.761599155107</v>
      </c>
      <c r="N47" s="61">
        <f t="shared" si="18"/>
        <v>16334.248988877316</v>
      </c>
      <c r="O47" s="61">
        <f t="shared" si="18"/>
        <v>17035.627262569396</v>
      </c>
      <c r="P47" s="61">
        <f t="shared" si="18"/>
        <v>15955.786141161247</v>
      </c>
      <c r="Q47" s="61">
        <f t="shared" si="18"/>
        <v>15364.919858392161</v>
      </c>
      <c r="R47" s="61">
        <f t="shared" si="18"/>
        <v>15176.505539326519</v>
      </c>
      <c r="S47" s="61">
        <f t="shared" si="18"/>
        <v>14634.299280620955</v>
      </c>
      <c r="T47" s="61">
        <f t="shared" si="18"/>
        <v>14303.833747153605</v>
      </c>
      <c r="U47" s="61">
        <f t="shared" si="18"/>
        <v>13893.690851301277</v>
      </c>
      <c r="V47" s="61">
        <f t="shared" si="18"/>
        <v>13676.743233118874</v>
      </c>
      <c r="W47" s="61">
        <f t="shared" si="18"/>
        <v>13836.082785089789</v>
      </c>
      <c r="X47" s="61">
        <f t="shared" si="18"/>
        <v>14097.782351369271</v>
      </c>
      <c r="Y47" s="61">
        <f t="shared" si="18"/>
        <v>14314.012866823372</v>
      </c>
      <c r="Z47" s="61">
        <f t="shared" si="18"/>
        <v>14917.347015101805</v>
      </c>
      <c r="AA47" s="61">
        <f t="shared" si="18"/>
        <v>15312.467632369613</v>
      </c>
      <c r="AB47" s="61">
        <f>SUM(AB2,AB7,AB8,AB9,AB10,AB11,AB17,AB23,AB24,AB32)</f>
        <v>15761.65888873923</v>
      </c>
      <c r="AC47" s="61">
        <f>SUM(AC2,AC7,AC8,AC9,AC10,AC11,AC17,AC23,AC24,AC32)</f>
        <v>16118.197991769979</v>
      </c>
      <c r="AD47" s="61">
        <f t="shared" ref="AD47:AK47" si="19">SUM(AD2,AD7,AD8,AD9,AD10,AD11,AD17,AD23,AD24,AD32)</f>
        <v>15975.008039195962</v>
      </c>
      <c r="AE47" s="61">
        <f t="shared" si="19"/>
        <v>16103.473420931572</v>
      </c>
      <c r="AF47" s="61">
        <f t="shared" si="19"/>
        <v>16260.265257435396</v>
      </c>
      <c r="AG47" s="61">
        <f t="shared" si="19"/>
        <v>16215.615901758953</v>
      </c>
      <c r="AH47" s="61">
        <f t="shared" si="19"/>
        <v>16214.907650087454</v>
      </c>
      <c r="AI47" s="61">
        <f t="shared" si="19"/>
        <v>15814.498457911652</v>
      </c>
      <c r="AJ47" s="61">
        <f t="shared" si="19"/>
        <v>15426.691136434438</v>
      </c>
      <c r="AK47" s="61">
        <f t="shared" si="19"/>
        <v>15162.991304834833</v>
      </c>
      <c r="AL47" s="9">
        <f>AF47/$AF$47</f>
        <v>1</v>
      </c>
      <c r="AM47" s="9">
        <f>(AK47-B47)/B47</f>
        <v>-8.1865917854099829E-2</v>
      </c>
      <c r="AN47" s="6"/>
      <c r="AO47" s="11">
        <f>(AK47-AJ47)/AJ47</f>
        <v>-1.7093738979242511E-2</v>
      </c>
      <c r="AP47" s="12">
        <f>AK47-AJ47</f>
        <v>-263.69983159960429</v>
      </c>
    </row>
    <row r="48" spans="1:42" x14ac:dyDescent="0.25">
      <c r="A48" s="60" t="s">
        <v>54</v>
      </c>
      <c r="B48" s="61">
        <f>SUM(B2,B7,B8,B9,B10,B11,B17,B23,B24,B32,B37)</f>
        <v>20595.077792937369</v>
      </c>
      <c r="C48" s="61">
        <f t="shared" ref="C48:AK48" si="20">SUM(C2,C7,C8,C9,C10,C11,C17,C23,C24,C32,C37)</f>
        <v>20782.193196887038</v>
      </c>
      <c r="D48" s="61">
        <f t="shared" si="20"/>
        <v>20957.416166718896</v>
      </c>
      <c r="E48" s="61">
        <f t="shared" si="20"/>
        <v>21008.427503556177</v>
      </c>
      <c r="F48" s="61">
        <f t="shared" si="20"/>
        <v>20935.603582962525</v>
      </c>
      <c r="G48" s="61">
        <f t="shared" si="20"/>
        <v>20981.074915286612</v>
      </c>
      <c r="H48" s="61">
        <f t="shared" si="20"/>
        <v>21240.829019300581</v>
      </c>
      <c r="I48" s="61">
        <f t="shared" si="20"/>
        <v>21150.442020514514</v>
      </c>
      <c r="J48" s="61">
        <f t="shared" si="20"/>
        <v>21371.919948495448</v>
      </c>
      <c r="K48" s="61">
        <f t="shared" si="20"/>
        <v>20828.741298906905</v>
      </c>
      <c r="L48" s="61">
        <f t="shared" si="20"/>
        <v>20195.462876838559</v>
      </c>
      <c r="M48" s="61">
        <f t="shared" si="20"/>
        <v>20421.263619785706</v>
      </c>
      <c r="N48" s="61">
        <f t="shared" si="20"/>
        <v>20023.287032144333</v>
      </c>
      <c r="O48" s="61">
        <f t="shared" si="20"/>
        <v>20930.098182140708</v>
      </c>
      <c r="P48" s="61">
        <f t="shared" si="20"/>
        <v>19748.559389227605</v>
      </c>
      <c r="Q48" s="61">
        <f t="shared" si="20"/>
        <v>19160.812107859074</v>
      </c>
      <c r="R48" s="61">
        <f t="shared" si="20"/>
        <v>18938.802163472952</v>
      </c>
      <c r="S48" s="61">
        <f t="shared" si="20"/>
        <v>18347.084742417741</v>
      </c>
      <c r="T48" s="61">
        <f t="shared" si="20"/>
        <v>17987.900637190101</v>
      </c>
      <c r="U48" s="61">
        <f t="shared" si="20"/>
        <v>17564.210634506642</v>
      </c>
      <c r="V48" s="61">
        <f t="shared" si="20"/>
        <v>17604.464007938288</v>
      </c>
      <c r="W48" s="61">
        <f t="shared" si="20"/>
        <v>17558.22267348005</v>
      </c>
      <c r="X48" s="61">
        <f t="shared" si="20"/>
        <v>17682.201151790967</v>
      </c>
      <c r="Y48" s="61">
        <f t="shared" si="20"/>
        <v>17914.857870871987</v>
      </c>
      <c r="Z48" s="61">
        <f t="shared" si="20"/>
        <v>18520.582711379087</v>
      </c>
      <c r="AA48" s="61">
        <f t="shared" si="20"/>
        <v>18849.252879237636</v>
      </c>
      <c r="AB48" s="61">
        <f t="shared" si="20"/>
        <v>19233.609071429346</v>
      </c>
      <c r="AC48" s="61">
        <f t="shared" si="20"/>
        <v>19869.387805558465</v>
      </c>
      <c r="AD48" s="61">
        <f t="shared" si="20"/>
        <v>19521.946905362951</v>
      </c>
      <c r="AE48" s="61">
        <f t="shared" si="20"/>
        <v>19627.959932375459</v>
      </c>
      <c r="AF48" s="61">
        <f t="shared" si="20"/>
        <v>19755.248597545335</v>
      </c>
      <c r="AG48" s="61">
        <f t="shared" si="20"/>
        <v>19755.896545827745</v>
      </c>
      <c r="AH48" s="61">
        <f t="shared" si="20"/>
        <v>19782.572443516961</v>
      </c>
      <c r="AI48" s="61">
        <f t="shared" si="20"/>
        <v>19461.690158481313</v>
      </c>
      <c r="AJ48" s="61">
        <f t="shared" si="20"/>
        <v>19026.344028063548</v>
      </c>
      <c r="AK48" s="61">
        <f t="shared" si="20"/>
        <v>18724.527061437449</v>
      </c>
      <c r="AL48" s="9">
        <f>AF48/$AF$48</f>
        <v>1</v>
      </c>
      <c r="AM48" s="9">
        <f>(AK48-B48)/B48</f>
        <v>-9.082513551569997E-2</v>
      </c>
      <c r="AN48" s="6"/>
      <c r="AO48" s="11">
        <f>(AK48-AJ48)/AJ48</f>
        <v>-1.5863108865314491E-2</v>
      </c>
      <c r="AP48" s="12">
        <f>AK48-AJ48</f>
        <v>-301.81696662609829</v>
      </c>
    </row>
    <row r="49" spans="26:42" x14ac:dyDescent="0.25"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M49" s="6"/>
      <c r="AN49" s="6"/>
      <c r="AO49" s="6"/>
      <c r="AP49" s="39"/>
    </row>
    <row r="50" spans="26:42" x14ac:dyDescent="0.25"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7"/>
      <c r="AN50" s="67"/>
    </row>
    <row r="51" spans="26:42" x14ac:dyDescent="0.25"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7"/>
    </row>
    <row r="52" spans="26:42" x14ac:dyDescent="0.25"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8"/>
      <c r="AM52" s="68"/>
      <c r="AP52" s="54"/>
    </row>
    <row r="53" spans="26:42" x14ac:dyDescent="0.25"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7"/>
      <c r="AP53" s="54"/>
    </row>
    <row r="54" spans="26:42" x14ac:dyDescent="0.25"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7"/>
      <c r="AP54" s="54"/>
    </row>
    <row r="55" spans="26:42" x14ac:dyDescent="0.25"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7"/>
      <c r="AP55" s="54"/>
    </row>
    <row r="56" spans="26:42" x14ac:dyDescent="0.25"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7"/>
      <c r="AP56" s="54"/>
    </row>
    <row r="57" spans="26:42" x14ac:dyDescent="0.25"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7"/>
      <c r="AP57" s="54"/>
    </row>
    <row r="58" spans="26:42" x14ac:dyDescent="0.25"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7"/>
      <c r="AO58" s="66"/>
      <c r="AP58" s="54"/>
    </row>
    <row r="59" spans="26:42" x14ac:dyDescent="0.25"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7"/>
      <c r="AP59" s="54"/>
    </row>
    <row r="60" spans="26:42" x14ac:dyDescent="0.25"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7"/>
      <c r="AM60" s="67"/>
      <c r="AP60" s="54"/>
    </row>
    <row r="61" spans="26:42" x14ac:dyDescent="0.25"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P61" s="54"/>
    </row>
    <row r="62" spans="26:42" x14ac:dyDescent="0.25"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P62" s="54"/>
    </row>
    <row r="63" spans="26:42" x14ac:dyDescent="0.25">
      <c r="AP63" s="54"/>
    </row>
    <row r="64" spans="26:42" x14ac:dyDescent="0.25">
      <c r="AP64" s="54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77C8F-380C-47D7-BE3C-248C8966AB59}">
  <sheetPr>
    <tabColor rgb="FFFF0000"/>
    <outlinePr summaryBelow="0"/>
  </sheetPr>
  <dimension ref="A1:AV64"/>
  <sheetViews>
    <sheetView zoomScale="75" zoomScaleNormal="75" workbookViewId="0">
      <pane ySplit="1" topLeftCell="A2" activePane="bottomLeft" state="frozen"/>
      <selection activeCell="AJ21" sqref="AJ21"/>
      <selection pane="bottomLeft"/>
    </sheetView>
  </sheetViews>
  <sheetFormatPr defaultColWidth="9.28515625" defaultRowHeight="15" outlineLevelRow="1" x14ac:dyDescent="0.25"/>
  <cols>
    <col min="1" max="1" width="41" style="48" customWidth="1"/>
    <col min="2" max="30" width="8.7109375" style="48" bestFit="1" customWidth="1"/>
    <col min="31" max="32" width="8.7109375" style="48" customWidth="1"/>
    <col min="33" max="33" width="8.7109375" style="48" bestFit="1" customWidth="1"/>
    <col min="34" max="34" width="8.7109375" style="48" customWidth="1"/>
    <col min="35" max="35" width="8.7109375" style="48" bestFit="1" customWidth="1"/>
    <col min="36" max="37" width="8.7109375" style="48" customWidth="1"/>
    <col min="38" max="38" width="11.28515625" style="48" bestFit="1" customWidth="1"/>
    <col min="39" max="39" width="11.42578125" style="48" customWidth="1"/>
    <col min="40" max="40" width="9.7109375" style="48" customWidth="1"/>
    <col min="41" max="41" width="9.140625" style="48" bestFit="1" customWidth="1"/>
    <col min="42" max="42" width="9.28515625" style="48" bestFit="1" customWidth="1"/>
    <col min="43" max="43" width="13.5703125" style="48" customWidth="1"/>
    <col min="44" max="16384" width="9.28515625" style="48"/>
  </cols>
  <sheetData>
    <row r="1" spans="1:42" ht="30" x14ac:dyDescent="0.25">
      <c r="A1" s="1" t="s">
        <v>0</v>
      </c>
      <c r="B1" s="44">
        <v>1990</v>
      </c>
      <c r="C1" s="44">
        <v>1991</v>
      </c>
      <c r="D1" s="44">
        <v>1992</v>
      </c>
      <c r="E1" s="44">
        <v>1993</v>
      </c>
      <c r="F1" s="44">
        <v>1994</v>
      </c>
      <c r="G1" s="44">
        <v>1995</v>
      </c>
      <c r="H1" s="44">
        <v>1996</v>
      </c>
      <c r="I1" s="44">
        <v>1997</v>
      </c>
      <c r="J1" s="44">
        <v>1998</v>
      </c>
      <c r="K1" s="44">
        <v>1999</v>
      </c>
      <c r="L1" s="44">
        <v>2000</v>
      </c>
      <c r="M1" s="44">
        <v>2001</v>
      </c>
      <c r="N1" s="44">
        <v>2002</v>
      </c>
      <c r="O1" s="44">
        <v>2003</v>
      </c>
      <c r="P1" s="44">
        <v>2004</v>
      </c>
      <c r="Q1" s="44">
        <v>2005</v>
      </c>
      <c r="R1" s="44">
        <v>2006</v>
      </c>
      <c r="S1" s="44">
        <v>2007</v>
      </c>
      <c r="T1" s="44">
        <v>2008</v>
      </c>
      <c r="U1" s="44">
        <v>2009</v>
      </c>
      <c r="V1" s="44">
        <v>2010</v>
      </c>
      <c r="W1" s="44">
        <v>2011</v>
      </c>
      <c r="X1" s="44">
        <v>2012</v>
      </c>
      <c r="Y1" s="44">
        <v>2013</v>
      </c>
      <c r="Z1" s="44">
        <v>2014</v>
      </c>
      <c r="AA1" s="44">
        <v>2015</v>
      </c>
      <c r="AB1" s="44">
        <v>2016</v>
      </c>
      <c r="AC1" s="44">
        <v>2017</v>
      </c>
      <c r="AD1" s="44">
        <v>2018</v>
      </c>
      <c r="AE1" s="44">
        <v>2019</v>
      </c>
      <c r="AF1" s="44">
        <v>2020</v>
      </c>
      <c r="AG1" s="44">
        <v>2021</v>
      </c>
      <c r="AH1" s="44">
        <v>2022</v>
      </c>
      <c r="AI1" s="44">
        <v>2023</v>
      </c>
      <c r="AJ1" s="44">
        <v>2024</v>
      </c>
      <c r="AK1" s="44">
        <v>2025</v>
      </c>
      <c r="AL1" s="1" t="s">
        <v>1</v>
      </c>
      <c r="AM1" s="45" t="s">
        <v>3</v>
      </c>
      <c r="AN1" s="46"/>
      <c r="AO1" s="45" t="s">
        <v>4</v>
      </c>
      <c r="AP1" s="47" t="s">
        <v>58</v>
      </c>
    </row>
    <row r="2" spans="1:42" x14ac:dyDescent="0.25">
      <c r="A2" s="49" t="s">
        <v>9</v>
      </c>
      <c r="B2" s="50">
        <f t="shared" ref="B2:AA2" si="0">SUM(B3:B6)</f>
        <v>63.580266645074424</v>
      </c>
      <c r="C2" s="50">
        <f t="shared" si="0"/>
        <v>65.057215959349804</v>
      </c>
      <c r="D2" s="50">
        <f t="shared" si="0"/>
        <v>66.92676663578797</v>
      </c>
      <c r="E2" s="50">
        <f t="shared" si="0"/>
        <v>64.027024870467386</v>
      </c>
      <c r="F2" s="50">
        <f t="shared" si="0"/>
        <v>65.271599330834036</v>
      </c>
      <c r="G2" s="50">
        <f t="shared" si="0"/>
        <v>66.142636258119111</v>
      </c>
      <c r="H2" s="50">
        <f t="shared" si="0"/>
        <v>69.21520688479815</v>
      </c>
      <c r="I2" s="50">
        <f t="shared" si="0"/>
        <v>69.099508780976592</v>
      </c>
      <c r="J2" s="50">
        <f t="shared" si="0"/>
        <v>66.855376053113972</v>
      </c>
      <c r="K2" s="50">
        <f t="shared" si="0"/>
        <v>68.489556840411197</v>
      </c>
      <c r="L2" s="50">
        <f t="shared" si="0"/>
        <v>68.447359656156095</v>
      </c>
      <c r="M2" s="50">
        <f t="shared" si="0"/>
        <v>74.504644829551268</v>
      </c>
      <c r="N2" s="50">
        <f t="shared" si="0"/>
        <v>83.88630838071532</v>
      </c>
      <c r="O2" s="50">
        <f t="shared" si="0"/>
        <v>92.951514204143919</v>
      </c>
      <c r="P2" s="50">
        <f t="shared" si="0"/>
        <v>81.404890671751531</v>
      </c>
      <c r="Q2" s="50">
        <f t="shared" si="0"/>
        <v>89.175070508234441</v>
      </c>
      <c r="R2" s="50">
        <f t="shared" si="0"/>
        <v>96.698419126286652</v>
      </c>
      <c r="S2" s="50">
        <f t="shared" si="0"/>
        <v>102.37095105580745</v>
      </c>
      <c r="T2" s="50">
        <f t="shared" si="0"/>
        <v>128.13509211304495</v>
      </c>
      <c r="U2" s="50">
        <f t="shared" si="0"/>
        <v>123.13770314482167</v>
      </c>
      <c r="V2" s="50">
        <f t="shared" si="0"/>
        <v>128.06812569937864</v>
      </c>
      <c r="W2" s="50">
        <f t="shared" si="0"/>
        <v>116.90684556385715</v>
      </c>
      <c r="X2" s="50">
        <f t="shared" si="0"/>
        <v>119.38650846477239</v>
      </c>
      <c r="Y2" s="50">
        <f t="shared" si="0"/>
        <v>110.54949958717998</v>
      </c>
      <c r="Z2" s="50">
        <f t="shared" si="0"/>
        <v>110.49083489448908</v>
      </c>
      <c r="AA2" s="50">
        <f t="shared" si="0"/>
        <v>108.60503403832068</v>
      </c>
      <c r="AB2" s="50">
        <f>SUM(AB3:AB6)</f>
        <v>124.0734655146527</v>
      </c>
      <c r="AC2" s="50">
        <f>SUM(AC3:AC6)</f>
        <v>124.84724675040162</v>
      </c>
      <c r="AD2" s="50">
        <f t="shared" ref="AD2:AK2" si="1">SUM(AD3:AD6)</f>
        <v>126.20263699530199</v>
      </c>
      <c r="AE2" s="50">
        <f t="shared" si="1"/>
        <v>123.78340409679825</v>
      </c>
      <c r="AF2" s="50">
        <f t="shared" si="1"/>
        <v>110.12424971368836</v>
      </c>
      <c r="AG2" s="50">
        <f t="shared" si="1"/>
        <v>95.518644704352639</v>
      </c>
      <c r="AH2" s="50">
        <f t="shared" si="1"/>
        <v>102.57044655497742</v>
      </c>
      <c r="AI2" s="50">
        <f t="shared" si="1"/>
        <v>91.422185259648728</v>
      </c>
      <c r="AJ2" s="50">
        <f t="shared" si="1"/>
        <v>90.510686321380987</v>
      </c>
      <c r="AK2" s="50">
        <f t="shared" si="1"/>
        <v>89.70022665090363</v>
      </c>
      <c r="AL2" s="9">
        <f t="shared" ref="AL2:AL17" si="2">AK2/$AK$47</f>
        <v>1.6904921273798383E-2</v>
      </c>
      <c r="AM2" s="9">
        <f>(AK2-B2)/B2</f>
        <v>0.41081866094773173</v>
      </c>
      <c r="AN2" s="6"/>
      <c r="AO2" s="11">
        <f t="shared" ref="AO2:AO17" si="3">(AK2-AJ2)/AJ2</f>
        <v>-8.9542981433111211E-3</v>
      </c>
      <c r="AP2" s="12">
        <f t="shared" ref="AP2:AP17" si="4">AK2-AJ2</f>
        <v>-0.81045967047735701</v>
      </c>
    </row>
    <row r="3" spans="1:42" outlineLevel="1" x14ac:dyDescent="0.25">
      <c r="A3" s="51" t="s">
        <v>10</v>
      </c>
      <c r="B3" s="52">
        <f>(#REF!*265)+(#REF!*265)</f>
        <v>63.093070559049622</v>
      </c>
      <c r="C3" s="52">
        <f>(#REF!*265)+(#REF!*265)</f>
        <v>64.615706835730805</v>
      </c>
      <c r="D3" s="52">
        <f>(#REF!*265)+(#REF!*265)</f>
        <v>66.563980007574969</v>
      </c>
      <c r="E3" s="52">
        <f>(#REF!*265)+(#REF!*265)</f>
        <v>63.657942816956179</v>
      </c>
      <c r="F3" s="52">
        <f>(#REF!*265)+(#REF!*265)</f>
        <v>64.860331015627423</v>
      </c>
      <c r="G3" s="52">
        <f>(#REF!*265)+(#REF!*265)</f>
        <v>65.754882395449911</v>
      </c>
      <c r="H3" s="52">
        <f>(#REF!*265)+(#REF!*265)</f>
        <v>68.81808893619916</v>
      </c>
      <c r="I3" s="52">
        <f>(#REF!*265)+(#REF!*265)</f>
        <v>68.737076638652596</v>
      </c>
      <c r="J3" s="52">
        <f>(#REF!*265)+(#REF!*265)</f>
        <v>66.370959491499562</v>
      </c>
      <c r="K3" s="52">
        <f>(#REF!*265)+(#REF!*265)</f>
        <v>68.001784392473496</v>
      </c>
      <c r="L3" s="52">
        <f>(#REF!*265)+(#REF!*265)</f>
        <v>67.869702099764496</v>
      </c>
      <c r="M3" s="52">
        <f>(#REF!*265)+(#REF!*265)</f>
        <v>73.775078268740501</v>
      </c>
      <c r="N3" s="52">
        <f>(#REF!*265)+(#REF!*265)</f>
        <v>83.078674248315522</v>
      </c>
      <c r="O3" s="52">
        <f>(#REF!*265)+(#REF!*265)</f>
        <v>92.105738166739116</v>
      </c>
      <c r="P3" s="52">
        <f>(#REF!*265)+(#REF!*265)</f>
        <v>80.592957523699411</v>
      </c>
      <c r="Q3" s="52">
        <f>(#REF!*265)+(#REF!*265)</f>
        <v>88.397083316908549</v>
      </c>
      <c r="R3" s="52">
        <f>(#REF!*265)+(#REF!*265)</f>
        <v>95.892500010168177</v>
      </c>
      <c r="S3" s="52">
        <f>(#REF!*265)+(#REF!*265)</f>
        <v>101.59618271172802</v>
      </c>
      <c r="T3" s="52">
        <f>(#REF!*265)+(#REF!*265)</f>
        <v>127.32621929107687</v>
      </c>
      <c r="U3" s="52">
        <f>(#REF!*265)+(#REF!*265)</f>
        <v>122.32686482726079</v>
      </c>
      <c r="V3" s="52">
        <f>(#REF!*265)+(#REF!*265)</f>
        <v>127.4043215526241</v>
      </c>
      <c r="W3" s="52">
        <f>(#REF!*265)+(#REF!*265)</f>
        <v>116.40294003713123</v>
      </c>
      <c r="X3" s="52">
        <f>(#REF!*265)+(#REF!*265)</f>
        <v>118.83404209966116</v>
      </c>
      <c r="Y3" s="52">
        <f>(#REF!*265)+(#REF!*265)</f>
        <v>109.95199795389637</v>
      </c>
      <c r="Z3" s="52">
        <f>(#REF!*265)+(#REF!*265)</f>
        <v>109.97977874186635</v>
      </c>
      <c r="AA3" s="52">
        <f>(#REF!*265)+(#REF!*265)</f>
        <v>108.15311184351069</v>
      </c>
      <c r="AB3" s="52">
        <f>(#REF!*265)+(#REF!*265)</f>
        <v>123.56138186104646</v>
      </c>
      <c r="AC3" s="52">
        <f>(#REF!*265)+(#REF!*265)</f>
        <v>124.32209757100304</v>
      </c>
      <c r="AD3" s="52">
        <f>(#REF!*265)+(#REF!*265)</f>
        <v>125.74128850866681</v>
      </c>
      <c r="AE3" s="52">
        <f>(#REF!*265)+(#REF!*265)</f>
        <v>123.39185856446377</v>
      </c>
      <c r="AF3" s="52">
        <f>(#REF!*265)+(#REF!*265)</f>
        <v>109.69274748610569</v>
      </c>
      <c r="AG3" s="52">
        <f>(#REF!*265)+(#REF!*265)</f>
        <v>95.105777326839984</v>
      </c>
      <c r="AH3" s="52">
        <f>(#REF!*265)+(#REF!*265)</f>
        <v>102.20564188802032</v>
      </c>
      <c r="AI3" s="52">
        <f>(#REF!*265)+(#REF!*265)</f>
        <v>91.17663249726678</v>
      </c>
      <c r="AJ3" s="52">
        <f>(#REF!*265)+(#REF!*265)</f>
        <v>90.400858694637677</v>
      </c>
      <c r="AK3" s="52">
        <f>(#REF!*265)+(#REF!*265)</f>
        <v>89.529726743816312</v>
      </c>
      <c r="AL3" s="15">
        <f t="shared" si="2"/>
        <v>1.6872788829833459E-2</v>
      </c>
      <c r="AM3" s="15">
        <f>(AK3-B3)/B3</f>
        <v>0.41901045472219139</v>
      </c>
      <c r="AN3" s="29"/>
      <c r="AO3" s="16">
        <f t="shared" si="3"/>
        <v>-9.6363238513467557E-3</v>
      </c>
      <c r="AP3" s="17">
        <f t="shared" si="4"/>
        <v>-0.87113195082136485</v>
      </c>
    </row>
    <row r="4" spans="1:42" outlineLevel="1" x14ac:dyDescent="0.25">
      <c r="A4" s="51" t="s">
        <v>11</v>
      </c>
      <c r="B4" s="52">
        <f>(#REF!*265)</f>
        <v>0.16526298570480003</v>
      </c>
      <c r="C4" s="52">
        <f>(#REF!*265)</f>
        <v>0.184581745479</v>
      </c>
      <c r="D4" s="52">
        <f>(#REF!*265)</f>
        <v>0.13990986645300002</v>
      </c>
      <c r="E4" s="52">
        <f>(#REF!*265)</f>
        <v>0.14620529175120003</v>
      </c>
      <c r="F4" s="52">
        <f>(#REF!*265)</f>
        <v>0.15434093706660004</v>
      </c>
      <c r="G4" s="52">
        <f>(#REF!*265)</f>
        <v>0.15559056916920003</v>
      </c>
      <c r="H4" s="52">
        <f>(#REF!*265)</f>
        <v>0.16495465509900004</v>
      </c>
      <c r="I4" s="52">
        <f>(#REF!*265)</f>
        <v>0.19837008158400002</v>
      </c>
      <c r="J4" s="52">
        <f>(#REF!*265)</f>
        <v>0.20582060941440003</v>
      </c>
      <c r="K4" s="52">
        <f>(#REF!*265)</f>
        <v>0.20053982369520004</v>
      </c>
      <c r="L4" s="52">
        <f>(#REF!*265)</f>
        <v>0.28048854071160001</v>
      </c>
      <c r="M4" s="52">
        <f>(#REF!*265)</f>
        <v>0.30736866756600001</v>
      </c>
      <c r="N4" s="52">
        <f>(#REF!*265)</f>
        <v>0.30616141843979999</v>
      </c>
      <c r="O4" s="52">
        <f>(#REF!*265)</f>
        <v>0.27929760126480002</v>
      </c>
      <c r="P4" s="52">
        <f>(#REF!*265)</f>
        <v>0.2893207313826</v>
      </c>
      <c r="Q4" s="52">
        <f>(#REF!*265)</f>
        <v>0.36746546872786306</v>
      </c>
      <c r="R4" s="52">
        <f>(#REF!*265)</f>
        <v>0.34733869644267656</v>
      </c>
      <c r="S4" s="52">
        <f>(#REF!*265)</f>
        <v>0.34292153867212311</v>
      </c>
      <c r="T4" s="52">
        <f>(#REF!*265)</f>
        <v>0.33579301133884043</v>
      </c>
      <c r="U4" s="52">
        <f>(#REF!*265)</f>
        <v>0.27171999236483307</v>
      </c>
      <c r="V4" s="52">
        <f>(#REF!*265)</f>
        <v>0.19089786432724407</v>
      </c>
      <c r="W4" s="52">
        <f>(#REF!*265)</f>
        <v>0.15567708131470268</v>
      </c>
      <c r="X4" s="52">
        <f>(#REF!*265)</f>
        <v>0.16828769975171259</v>
      </c>
      <c r="Y4" s="52">
        <f>(#REF!*265)</f>
        <v>0.14870355432037105</v>
      </c>
      <c r="Z4" s="52">
        <f>(#REF!*265)</f>
        <v>0.14306555703406365</v>
      </c>
      <c r="AA4" s="52">
        <f>(#REF!*265)</f>
        <v>0.17002802988875759</v>
      </c>
      <c r="AB4" s="52">
        <f>(#REF!*265)</f>
        <v>0.1544218680315361</v>
      </c>
      <c r="AC4" s="52">
        <f>(#REF!*265)</f>
        <v>0.16206097252805904</v>
      </c>
      <c r="AD4" s="52">
        <f>(#REF!*265)</f>
        <v>0.17092549884392122</v>
      </c>
      <c r="AE4" s="52">
        <f>(#REF!*265)</f>
        <v>0.14966098397898178</v>
      </c>
      <c r="AF4" s="52">
        <f>(#REF!*265)</f>
        <v>0.18143561240257874</v>
      </c>
      <c r="AG4" s="52">
        <f>(#REF!*265)</f>
        <v>0.15079149305700476</v>
      </c>
      <c r="AH4" s="52">
        <f>(#REF!*265)</f>
        <v>0.15114036031071912</v>
      </c>
      <c r="AI4" s="52">
        <f>(#REF!*265)</f>
        <v>0.14461500480442491</v>
      </c>
      <c r="AJ4" s="52">
        <f>(#REF!*265)</f>
        <v>0.10752748982873098</v>
      </c>
      <c r="AK4" s="52">
        <f>(#REF!*265)</f>
        <v>0.14287415214986929</v>
      </c>
      <c r="AL4" s="15">
        <f t="shared" si="2"/>
        <v>2.6926089089540791E-5</v>
      </c>
      <c r="AM4" s="15">
        <f>(AK4-B4)/B4</f>
        <v>-0.13547397476481909</v>
      </c>
      <c r="AN4" s="10"/>
      <c r="AO4" s="16">
        <f t="shared" si="3"/>
        <v>0.32872210052925277</v>
      </c>
      <c r="AP4" s="17">
        <f t="shared" si="4"/>
        <v>3.5346662321138311E-2</v>
      </c>
    </row>
    <row r="5" spans="1:42" outlineLevel="1" x14ac:dyDescent="0.25">
      <c r="A5" s="51" t="s">
        <v>12</v>
      </c>
      <c r="B5" s="52">
        <f>(#REF!*265)</f>
        <v>0.32193310032</v>
      </c>
      <c r="C5" s="52">
        <f>(#REF!*265)</f>
        <v>0.25692737814</v>
      </c>
      <c r="D5" s="52">
        <f>(#REF!*265)</f>
        <v>0.22287676176000001</v>
      </c>
      <c r="E5" s="52">
        <f>(#REF!*265)</f>
        <v>0.22287676176000001</v>
      </c>
      <c r="F5" s="52">
        <f>(#REF!*265)</f>
        <v>0.25692737814</v>
      </c>
      <c r="G5" s="52">
        <f>(#REF!*265)</f>
        <v>0.23216329350000001</v>
      </c>
      <c r="H5" s="52">
        <f>(#REF!*265)</f>
        <v>0.23216329350000001</v>
      </c>
      <c r="I5" s="52">
        <f>(#REF!*265)</f>
        <v>0.16406206074000002</v>
      </c>
      <c r="J5" s="52">
        <f>(#REF!*265)</f>
        <v>0.27859595220000005</v>
      </c>
      <c r="K5" s="52">
        <f>(#REF!*265)</f>
        <v>0.26930942046000006</v>
      </c>
      <c r="L5" s="52">
        <f>(#REF!*265)</f>
        <v>0.29716901568000004</v>
      </c>
      <c r="M5" s="52">
        <f>(#REF!*265)</f>
        <v>0.39622535423999999</v>
      </c>
      <c r="N5" s="52">
        <f>(#REF!*265)</f>
        <v>0.50147271395999993</v>
      </c>
      <c r="O5" s="52">
        <f>(#REF!*265)</f>
        <v>0.56647843613999982</v>
      </c>
      <c r="P5" s="52">
        <f>(#REF!*265)</f>
        <v>0.52261241666951819</v>
      </c>
      <c r="Q5" s="52">
        <f>(#REF!*265)</f>
        <v>0.41052172259804048</v>
      </c>
      <c r="R5" s="52">
        <f>(#REF!*265)</f>
        <v>0.45858041967579999</v>
      </c>
      <c r="S5" s="52">
        <f>(#REF!*265)</f>
        <v>0.43184680540729931</v>
      </c>
      <c r="T5" s="52">
        <f>(#REF!*265)</f>
        <v>0.4730798106292311</v>
      </c>
      <c r="U5" s="52">
        <f>(#REF!*265)</f>
        <v>0.53911832519604308</v>
      </c>
      <c r="V5" s="52">
        <f>(#REF!*265)</f>
        <v>0.47290628242729005</v>
      </c>
      <c r="W5" s="52">
        <f>(#REF!*265)</f>
        <v>0.34822844541121084</v>
      </c>
      <c r="X5" s="52">
        <f>(#REF!*265)</f>
        <v>0.38417866535951639</v>
      </c>
      <c r="Y5" s="52">
        <f>(#REF!*265)</f>
        <v>0.44879807896324103</v>
      </c>
      <c r="Z5" s="52">
        <f>(#REF!*265)</f>
        <v>0.36799059558867048</v>
      </c>
      <c r="AA5" s="52">
        <f>(#REF!*265)</f>
        <v>0.28172590662684643</v>
      </c>
      <c r="AB5" s="52">
        <f>(#REF!*265)</f>
        <v>0.35702076562735607</v>
      </c>
      <c r="AC5" s="52">
        <f>(#REF!*265)</f>
        <v>0.36083501733887791</v>
      </c>
      <c r="AD5" s="52">
        <f>(#REF!*265)</f>
        <v>0.29033702996479333</v>
      </c>
      <c r="AE5" s="52">
        <f>(#REF!*265)</f>
        <v>0.24176750607196895</v>
      </c>
      <c r="AF5" s="52">
        <f>(#REF!*265)</f>
        <v>0.24993209274846348</v>
      </c>
      <c r="AG5" s="52">
        <f>(#REF!*265)</f>
        <v>0.26189365085543342</v>
      </c>
      <c r="AH5" s="52">
        <f>(#REF!*265)</f>
        <v>0.21358968743938558</v>
      </c>
      <c r="AI5" s="52">
        <f>(#REF!*265)</f>
        <v>0.10084138528600221</v>
      </c>
      <c r="AJ5" s="52">
        <f>(#REF!*265)</f>
        <v>2.1728808072515073E-3</v>
      </c>
      <c r="AK5" s="52">
        <f>(#REF!*265)</f>
        <v>2.7507085257071677E-2</v>
      </c>
      <c r="AL5" s="15">
        <f t="shared" si="2"/>
        <v>5.1839903655112161E-6</v>
      </c>
      <c r="AM5" s="15">
        <f>(AK5-B5)/B5</f>
        <v>-0.91455651739529187</v>
      </c>
      <c r="AN5" s="10"/>
      <c r="AO5" s="16">
        <f t="shared" si="3"/>
        <v>11.659270202614376</v>
      </c>
      <c r="AP5" s="17">
        <f t="shared" si="4"/>
        <v>2.533420444982017E-2</v>
      </c>
    </row>
    <row r="6" spans="1:42" outlineLevel="1" x14ac:dyDescent="0.25">
      <c r="A6" s="51" t="s">
        <v>13</v>
      </c>
      <c r="B6" s="69">
        <f>(#REF!*265)</f>
        <v>0</v>
      </c>
      <c r="C6" s="69">
        <f>(#REF!*265)</f>
        <v>0</v>
      </c>
      <c r="D6" s="69">
        <f>(#REF!*265)</f>
        <v>0</v>
      </c>
      <c r="E6" s="69">
        <f>(#REF!*265)</f>
        <v>0</v>
      </c>
      <c r="F6" s="69">
        <f>(#REF!*265)</f>
        <v>0</v>
      </c>
      <c r="G6" s="69">
        <f>(#REF!*265)</f>
        <v>0</v>
      </c>
      <c r="H6" s="69">
        <f>(#REF!*265)</f>
        <v>0</v>
      </c>
      <c r="I6" s="69">
        <f>(#REF!*265)</f>
        <v>0</v>
      </c>
      <c r="J6" s="69">
        <f>(#REF!*265)</f>
        <v>0</v>
      </c>
      <c r="K6" s="69">
        <f>(#REF!*265)</f>
        <v>1.7923203782500497E-2</v>
      </c>
      <c r="L6" s="69">
        <f>(#REF!*265)</f>
        <v>0</v>
      </c>
      <c r="M6" s="69">
        <f>(#REF!*265)</f>
        <v>2.5972539004769837E-2</v>
      </c>
      <c r="N6" s="69">
        <f>(#REF!*265)</f>
        <v>0</v>
      </c>
      <c r="O6" s="69">
        <f>(#REF!*265)</f>
        <v>0</v>
      </c>
      <c r="P6" s="69">
        <f>(#REF!*265)</f>
        <v>0</v>
      </c>
      <c r="Q6" s="69">
        <f>(#REF!*265)</f>
        <v>0</v>
      </c>
      <c r="R6" s="69">
        <f>(#REF!*265)</f>
        <v>0</v>
      </c>
      <c r="S6" s="69">
        <f>(#REF!*265)</f>
        <v>0</v>
      </c>
      <c r="T6" s="69">
        <f>(#REF!*265)</f>
        <v>0</v>
      </c>
      <c r="U6" s="69">
        <f>(#REF!*265)</f>
        <v>0</v>
      </c>
      <c r="V6" s="69">
        <f>(#REF!*265)</f>
        <v>0</v>
      </c>
      <c r="W6" s="69">
        <f>(#REF!*265)</f>
        <v>0</v>
      </c>
      <c r="X6" s="69">
        <f>(#REF!*265)</f>
        <v>0</v>
      </c>
      <c r="Y6" s="69">
        <f>(#REF!*265)</f>
        <v>0</v>
      </c>
      <c r="Z6" s="69">
        <f>(#REF!*265)</f>
        <v>0</v>
      </c>
      <c r="AA6" s="69">
        <f>(#REF!*265)</f>
        <v>1.6825829439400141E-4</v>
      </c>
      <c r="AB6" s="69">
        <f>(#REF!*265)</f>
        <v>6.4101994735515173E-4</v>
      </c>
      <c r="AC6" s="69">
        <f>(#REF!*265)</f>
        <v>2.2531895316614393E-3</v>
      </c>
      <c r="AD6" s="69">
        <f>(#REF!*265)</f>
        <v>8.5957826476968207E-5</v>
      </c>
      <c r="AE6" s="69">
        <f>(#REF!*265)</f>
        <v>1.1704228353979631E-4</v>
      </c>
      <c r="AF6" s="69">
        <f>(#REF!*265)</f>
        <v>1.3452243162083397E-4</v>
      </c>
      <c r="AG6" s="69">
        <f>(#REF!*265)</f>
        <v>1.8223360023406998E-4</v>
      </c>
      <c r="AH6" s="69">
        <f>(#REF!*265)</f>
        <v>7.4619206994896821E-5</v>
      </c>
      <c r="AI6" s="69">
        <f>(#REF!*265)</f>
        <v>9.6372291524220567E-5</v>
      </c>
      <c r="AJ6" s="69">
        <f>(#REF!*265)</f>
        <v>1.2725610733227896E-4</v>
      </c>
      <c r="AK6" s="69">
        <f>(#REF!*265)</f>
        <v>1.186696803821184E-4</v>
      </c>
      <c r="AL6" s="15">
        <f t="shared" si="2"/>
        <v>2.2364509871908096E-8</v>
      </c>
      <c r="AM6" s="15"/>
      <c r="AN6" s="6"/>
      <c r="AO6" s="16">
        <f t="shared" si="3"/>
        <v>-6.7473594235760354E-2</v>
      </c>
      <c r="AP6" s="17">
        <f t="shared" si="4"/>
        <v>-8.5864269501605578E-6</v>
      </c>
    </row>
    <row r="7" spans="1:42" x14ac:dyDescent="0.25">
      <c r="A7" s="53" t="s">
        <v>14</v>
      </c>
      <c r="B7" s="50">
        <f>#REF!*265</f>
        <v>25.992683308900371</v>
      </c>
      <c r="C7" s="50">
        <f>#REF!*265</f>
        <v>25.331809622054774</v>
      </c>
      <c r="D7" s="50">
        <f>#REF!*265</f>
        <v>21.707305230682678</v>
      </c>
      <c r="E7" s="50">
        <f>#REF!*265</f>
        <v>21.467527454845328</v>
      </c>
      <c r="F7" s="50">
        <f>#REF!*265</f>
        <v>20.09751651317422</v>
      </c>
      <c r="G7" s="50">
        <f>#REF!*265</f>
        <v>18.911587620304626</v>
      </c>
      <c r="H7" s="50">
        <f>#REF!*265</f>
        <v>19.633963591344823</v>
      </c>
      <c r="I7" s="50">
        <f>#REF!*265</f>
        <v>18.251448042403215</v>
      </c>
      <c r="J7" s="50">
        <f>#REF!*265</f>
        <v>19.644054434592839</v>
      </c>
      <c r="K7" s="50">
        <f>#REF!*265</f>
        <v>17.438179904775712</v>
      </c>
      <c r="L7" s="50">
        <f>#REF!*265</f>
        <v>17.430113405140144</v>
      </c>
      <c r="M7" s="50">
        <f>#REF!*265</f>
        <v>17.724571678352234</v>
      </c>
      <c r="N7" s="50">
        <f>#REF!*265</f>
        <v>17.772366528022783</v>
      </c>
      <c r="O7" s="50">
        <f>#REF!*265</f>
        <v>17.800602138904292</v>
      </c>
      <c r="P7" s="50">
        <f>#REF!*265</f>
        <v>17.877854669846386</v>
      </c>
      <c r="Q7" s="50">
        <f>#REF!*265</f>
        <v>18.945465246465439</v>
      </c>
      <c r="R7" s="50">
        <f>#REF!*265</f>
        <v>18.531533966370226</v>
      </c>
      <c r="S7" s="50">
        <f>#REF!*265</f>
        <v>18.475775094171258</v>
      </c>
      <c r="T7" s="50">
        <f>#REF!*265</f>
        <v>20.018985441915707</v>
      </c>
      <c r="U7" s="50">
        <f>#REF!*265</f>
        <v>20.487809129831252</v>
      </c>
      <c r="V7" s="50">
        <f>#REF!*265</f>
        <v>20.597778497215934</v>
      </c>
      <c r="W7" s="50">
        <f>#REF!*265</f>
        <v>17.97678787605766</v>
      </c>
      <c r="X7" s="50">
        <f>#REF!*265</f>
        <v>17.065932902953747</v>
      </c>
      <c r="Y7" s="50">
        <f>#REF!*265</f>
        <v>16.848131662983427</v>
      </c>
      <c r="Z7" s="50">
        <f>#REF!*265</f>
        <v>15.182714926727009</v>
      </c>
      <c r="AA7" s="50">
        <f>#REF!*265</f>
        <v>16.375235779908788</v>
      </c>
      <c r="AB7" s="50">
        <f>#REF!*265</f>
        <v>16.964120123473862</v>
      </c>
      <c r="AC7" s="50">
        <f>#REF!*265</f>
        <v>15.03919597570399</v>
      </c>
      <c r="AD7" s="50">
        <f>#REF!*265</f>
        <v>16.185869459013723</v>
      </c>
      <c r="AE7" s="50">
        <f>#REF!*265</f>
        <v>15.189147605488978</v>
      </c>
      <c r="AF7" s="50">
        <f>#REF!*265</f>
        <v>16.73570535209042</v>
      </c>
      <c r="AG7" s="50">
        <f>#REF!*265</f>
        <v>15.574147318543254</v>
      </c>
      <c r="AH7" s="50">
        <f>#REF!*265</f>
        <v>12.709147143134304</v>
      </c>
      <c r="AI7" s="50">
        <f>#REF!*265</f>
        <v>11.849048996409886</v>
      </c>
      <c r="AJ7" s="50">
        <f>#REF!*265</f>
        <v>12.47586243672292</v>
      </c>
      <c r="AK7" s="50">
        <f>#REF!*265</f>
        <v>12.036144728817218</v>
      </c>
      <c r="AL7" s="9">
        <f t="shared" si="2"/>
        <v>2.2683340575332727E-3</v>
      </c>
      <c r="AM7" s="9">
        <f t="shared" ref="AM7:AM17" si="5">(AK7-B7)/B7</f>
        <v>-0.53694104660999653</v>
      </c>
      <c r="AN7" s="6"/>
      <c r="AO7" s="11">
        <f t="shared" si="3"/>
        <v>-3.5245475824692098E-2</v>
      </c>
      <c r="AP7" s="12">
        <f t="shared" si="4"/>
        <v>-0.43971770790570197</v>
      </c>
    </row>
    <row r="8" spans="1:42" x14ac:dyDescent="0.25">
      <c r="A8" s="53" t="s">
        <v>15</v>
      </c>
      <c r="B8" s="50">
        <f>#REF!*265</f>
        <v>28.102143050037981</v>
      </c>
      <c r="C8" s="50">
        <f>#REF!*265</f>
        <v>37.560773233037779</v>
      </c>
      <c r="D8" s="50">
        <f>#REF!*265</f>
        <v>36.577100973845077</v>
      </c>
      <c r="E8" s="50">
        <f>#REF!*265</f>
        <v>37.379579328017208</v>
      </c>
      <c r="F8" s="50">
        <f>#REF!*265</f>
        <v>40.170756031919041</v>
      </c>
      <c r="G8" s="50">
        <f>#REF!*265</f>
        <v>41.068203902598057</v>
      </c>
      <c r="H8" s="50">
        <f>#REF!*265</f>
        <v>39.956347940484847</v>
      </c>
      <c r="I8" s="50">
        <f>#REF!*265</f>
        <v>41.378654196238905</v>
      </c>
      <c r="J8" s="50">
        <f>#REF!*265</f>
        <v>42.102367774368055</v>
      </c>
      <c r="K8" s="50">
        <f>#REF!*265</f>
        <v>43.708661951102329</v>
      </c>
      <c r="L8" s="50">
        <f>#REF!*265</f>
        <v>46.03604387814746</v>
      </c>
      <c r="M8" s="50">
        <f>#REF!*265</f>
        <v>49.414591088891676</v>
      </c>
      <c r="N8" s="50">
        <f>#REF!*265</f>
        <v>48.038030213516734</v>
      </c>
      <c r="O8" s="50">
        <f>#REF!*265</f>
        <v>48.012345970734984</v>
      </c>
      <c r="P8" s="50">
        <f>#REF!*265</f>
        <v>51.151620494725059</v>
      </c>
      <c r="Q8" s="50">
        <f>#REF!*265</f>
        <v>59.750904463136571</v>
      </c>
      <c r="R8" s="50">
        <f>#REF!*265</f>
        <v>59.313989547223557</v>
      </c>
      <c r="S8" s="50">
        <f>#REF!*265</f>
        <v>57.427188207183988</v>
      </c>
      <c r="T8" s="50">
        <f>#REF!*265</f>
        <v>43.16337297709827</v>
      </c>
      <c r="U8" s="50">
        <f>#REF!*265</f>
        <v>53.593982269228817</v>
      </c>
      <c r="V8" s="50">
        <f>#REF!*265</f>
        <v>42.380455592059143</v>
      </c>
      <c r="W8" s="50">
        <f>#REF!*265</f>
        <v>36.06306923897791</v>
      </c>
      <c r="X8" s="50">
        <f>#REF!*265</f>
        <v>36.392086895823986</v>
      </c>
      <c r="Y8" s="50">
        <f>#REF!*265</f>
        <v>41.605353138152665</v>
      </c>
      <c r="Z8" s="50">
        <f>#REF!*265</f>
        <v>38.387723776794871</v>
      </c>
      <c r="AA8" s="50">
        <f>#REF!*265</f>
        <v>36.462841110544112</v>
      </c>
      <c r="AB8" s="50">
        <f>#REF!*265</f>
        <v>39.486737510153006</v>
      </c>
      <c r="AC8" s="50">
        <f>#REF!*265</f>
        <v>49.46702931267577</v>
      </c>
      <c r="AD8" s="50">
        <f>#REF!*265</f>
        <v>49.383279925324608</v>
      </c>
      <c r="AE8" s="50">
        <f>#REF!*265</f>
        <v>50.147529174316823</v>
      </c>
      <c r="AF8" s="50">
        <f>#REF!*265</f>
        <v>43.789877312337005</v>
      </c>
      <c r="AG8" s="50">
        <f>#REF!*265</f>
        <v>45.12714274352723</v>
      </c>
      <c r="AH8" s="50">
        <f>#REF!*265</f>
        <v>46.567291687128709</v>
      </c>
      <c r="AI8" s="50">
        <f>#REF!*265</f>
        <v>49.399431776545924</v>
      </c>
      <c r="AJ8" s="50">
        <f>#REF!*265</f>
        <v>49.279269149938592</v>
      </c>
      <c r="AK8" s="50">
        <f>#REF!*265</f>
        <v>49.191107933877397</v>
      </c>
      <c r="AL8" s="9">
        <f t="shared" si="2"/>
        <v>9.2705652821752291E-3</v>
      </c>
      <c r="AM8" s="9">
        <f t="shared" si="5"/>
        <v>0.7504397385739916</v>
      </c>
      <c r="AN8" s="6"/>
      <c r="AO8" s="11">
        <f t="shared" si="3"/>
        <v>-1.7890122475833217E-3</v>
      </c>
      <c r="AP8" s="12">
        <f t="shared" si="4"/>
        <v>-8.8161216061195091E-2</v>
      </c>
    </row>
    <row r="9" spans="1:42" x14ac:dyDescent="0.25">
      <c r="A9" s="53" t="s">
        <v>16</v>
      </c>
      <c r="B9" s="50">
        <f>(#REF!*265)</f>
        <v>1.9744875547323375</v>
      </c>
      <c r="C9" s="50">
        <f>(#REF!*265)</f>
        <v>1.9665235205403495</v>
      </c>
      <c r="D9" s="50">
        <f>(#REF!*265)</f>
        <v>1.9147427592606345</v>
      </c>
      <c r="E9" s="50">
        <f>(#REF!*265)</f>
        <v>1.8343893150392589</v>
      </c>
      <c r="F9" s="50">
        <f>(#REF!*265)</f>
        <v>1.9912447621692557</v>
      </c>
      <c r="G9" s="50">
        <f>(#REF!*265)</f>
        <v>1.9318844739155705</v>
      </c>
      <c r="H9" s="50">
        <f>(#REF!*265)</f>
        <v>1.6655695844556742</v>
      </c>
      <c r="I9" s="50">
        <f>(#REF!*265)</f>
        <v>1.6477643675135973</v>
      </c>
      <c r="J9" s="50">
        <f>(#REF!*265)</f>
        <v>1.5552041606684956</v>
      </c>
      <c r="K9" s="50">
        <f>(#REF!*265)</f>
        <v>1.5743904343657942</v>
      </c>
      <c r="L9" s="50">
        <f>(#REF!*265)</f>
        <v>1.515921712441944</v>
      </c>
      <c r="M9" s="50">
        <f>(#REF!*265)</f>
        <v>1.45459164669661</v>
      </c>
      <c r="N9" s="50">
        <f>(#REF!*265)</f>
        <v>1.3783683468496803</v>
      </c>
      <c r="O9" s="50">
        <f>(#REF!*265)</f>
        <v>1.7499906592355285</v>
      </c>
      <c r="P9" s="50">
        <f>(#REF!*265)</f>
        <v>1.6181714889653833</v>
      </c>
      <c r="Q9" s="50">
        <f>(#REF!*265)</f>
        <v>1.6365626628759085</v>
      </c>
      <c r="R9" s="50">
        <f>(#REF!*265)</f>
        <v>1.580632656396769</v>
      </c>
      <c r="S9" s="50">
        <f>(#REF!*265)</f>
        <v>1.6932774064201235</v>
      </c>
      <c r="T9" s="50">
        <f>(#REF!*265)</f>
        <v>1.9420579517759922</v>
      </c>
      <c r="U9" s="50">
        <f>(#REF!*265)</f>
        <v>1.2548651801248989</v>
      </c>
      <c r="V9" s="50">
        <f>(#REF!*265)</f>
        <v>1.2124459250720665</v>
      </c>
      <c r="W9" s="50">
        <f>(#REF!*265)</f>
        <v>1.2379355456750563</v>
      </c>
      <c r="X9" s="50">
        <f>(#REF!*265)</f>
        <v>1.2878367655306073</v>
      </c>
      <c r="Y9" s="50">
        <f>(#REF!*265)</f>
        <v>1.4252908841047256</v>
      </c>
      <c r="Z9" s="50">
        <f>(#REF!*265)</f>
        <v>1.4511721871454004</v>
      </c>
      <c r="AA9" s="50">
        <f>(#REF!*265)</f>
        <v>1.1929258851065088</v>
      </c>
      <c r="AB9" s="50">
        <f>(#REF!*265)</f>
        <v>1.238280816635221</v>
      </c>
      <c r="AC9" s="50">
        <f>(#REF!*265)</f>
        <v>1.0228246256368974</v>
      </c>
      <c r="AD9" s="50">
        <f>(#REF!*265)</f>
        <v>1.1078880952270569</v>
      </c>
      <c r="AE9" s="50">
        <f>(#REF!*265)</f>
        <v>0.98181251935030933</v>
      </c>
      <c r="AF9" s="50">
        <f>(#REF!*265)</f>
        <v>0.90425493436797533</v>
      </c>
      <c r="AG9" s="50">
        <f>(#REF!*265)</f>
        <v>1.0099758537206551</v>
      </c>
      <c r="AH9" s="50">
        <f>(#REF!*265)</f>
        <v>0.9894735249637937</v>
      </c>
      <c r="AI9" s="50">
        <f>(#REF!*265)</f>
        <v>0.91962562714306417</v>
      </c>
      <c r="AJ9" s="50">
        <f>(#REF!*265)</f>
        <v>1.0218326137879321</v>
      </c>
      <c r="AK9" s="50">
        <f>(#REF!*265)</f>
        <v>1.0856907889702496</v>
      </c>
      <c r="AL9" s="9">
        <f t="shared" si="2"/>
        <v>2.0460948651399233E-4</v>
      </c>
      <c r="AM9" s="9">
        <f t="shared" si="5"/>
        <v>-0.45014047499659909</v>
      </c>
      <c r="AN9" s="10"/>
      <c r="AO9" s="11">
        <f t="shared" si="3"/>
        <v>6.2493772777123785E-2</v>
      </c>
      <c r="AP9" s="12">
        <f t="shared" si="4"/>
        <v>6.3858175182317511E-2</v>
      </c>
    </row>
    <row r="10" spans="1:42" x14ac:dyDescent="0.25">
      <c r="A10" s="53" t="s">
        <v>17</v>
      </c>
      <c r="B10" s="50">
        <f>(#REF!*265)</f>
        <v>2.3754883246932752</v>
      </c>
      <c r="C10" s="50">
        <f>(#REF!*265)</f>
        <v>2.2569496990416349</v>
      </c>
      <c r="D10" s="50">
        <f>(#REF!*265)</f>
        <v>1.9180411012280831</v>
      </c>
      <c r="E10" s="50">
        <f>(#REF!*265)</f>
        <v>1.8047872001203213</v>
      </c>
      <c r="F10" s="50">
        <f>(#REF!*265)</f>
        <v>1.757888984639614</v>
      </c>
      <c r="G10" s="50">
        <f>(#REF!*265)</f>
        <v>1.5705807325119214</v>
      </c>
      <c r="H10" s="50">
        <f>(#REF!*265)</f>
        <v>1.5009794371758975</v>
      </c>
      <c r="I10" s="50">
        <f>(#REF!*265)</f>
        <v>1.3439710605915476</v>
      </c>
      <c r="J10" s="50">
        <f>(#REF!*265)</f>
        <v>1.1615726024106843</v>
      </c>
      <c r="K10" s="50">
        <f>(#REF!*265)</f>
        <v>1.1545519579913341</v>
      </c>
      <c r="L10" s="50">
        <f>(#REF!*265)</f>
        <v>1.1345453948202666</v>
      </c>
      <c r="M10" s="50">
        <f>(#REF!*265)</f>
        <v>1.1003005371958068</v>
      </c>
      <c r="N10" s="50">
        <f>(#REF!*265)</f>
        <v>1.0277627982786477</v>
      </c>
      <c r="O10" s="50">
        <f>(#REF!*265)</f>
        <v>0.94644106714916854</v>
      </c>
      <c r="P10" s="50">
        <f>(#REF!*265)</f>
        <v>0.86032142272601686</v>
      </c>
      <c r="Q10" s="50">
        <f>(#REF!*265)</f>
        <v>0.86388641903363173</v>
      </c>
      <c r="R10" s="50">
        <f>(#REF!*265)</f>
        <v>0.80082694953334466</v>
      </c>
      <c r="S10" s="50">
        <f>(#REF!*265)</f>
        <v>0.73947475100924331</v>
      </c>
      <c r="T10" s="50">
        <f>(#REF!*265)</f>
        <v>0.75490408300194578</v>
      </c>
      <c r="U10" s="50">
        <f>(#REF!*265)</f>
        <v>0.83713013927617097</v>
      </c>
      <c r="V10" s="50">
        <f>(#REF!*265)</f>
        <v>0.79174637269627757</v>
      </c>
      <c r="W10" s="50">
        <f>(#REF!*265)</f>
        <v>0.82579623622410847</v>
      </c>
      <c r="X10" s="50">
        <f>(#REF!*265)</f>
        <v>0.89895089598679523</v>
      </c>
      <c r="Y10" s="50">
        <f>(#REF!*265)</f>
        <v>1.2208107366259284</v>
      </c>
      <c r="Z10" s="50">
        <f>(#REF!*265)</f>
        <v>1.2436112665020007</v>
      </c>
      <c r="AA10" s="50">
        <f>(#REF!*265)</f>
        <v>1.0937561205413444</v>
      </c>
      <c r="AB10" s="50">
        <f>(#REF!*265)</f>
        <v>1.3875948466518391</v>
      </c>
      <c r="AC10" s="50">
        <f>(#REF!*265)</f>
        <v>1.3446562914546054</v>
      </c>
      <c r="AD10" s="50">
        <f>(#REF!*265)</f>
        <v>1.2823989193769576</v>
      </c>
      <c r="AE10" s="50">
        <f>(#REF!*265)</f>
        <v>1.1790335516749888</v>
      </c>
      <c r="AF10" s="50">
        <f>(#REF!*265)</f>
        <v>1.1738328297319471</v>
      </c>
      <c r="AG10" s="50">
        <f>(#REF!*265)</f>
        <v>1.2673356824646038</v>
      </c>
      <c r="AH10" s="50">
        <f>(#REF!*265)</f>
        <v>1.2752402374854044</v>
      </c>
      <c r="AI10" s="50">
        <f>(#REF!*265)</f>
        <v>1.1962016770973516</v>
      </c>
      <c r="AJ10" s="50">
        <f>(#REF!*265)</f>
        <v>1.3190524851703598</v>
      </c>
      <c r="AK10" s="50">
        <f>(#REF!*265)</f>
        <v>1.3258638869500077</v>
      </c>
      <c r="AL10" s="9">
        <f t="shared" si="2"/>
        <v>2.4987255289656956E-4</v>
      </c>
      <c r="AM10" s="9">
        <f t="shared" si="5"/>
        <v>-0.44185628143585837</v>
      </c>
      <c r="AN10" s="6"/>
      <c r="AO10" s="11">
        <f t="shared" si="3"/>
        <v>5.1638595554203311E-3</v>
      </c>
      <c r="AP10" s="12">
        <f t="shared" si="4"/>
        <v>6.8114017796478965E-3</v>
      </c>
    </row>
    <row r="11" spans="1:42" x14ac:dyDescent="0.25">
      <c r="A11" s="53" t="s">
        <v>18</v>
      </c>
      <c r="B11" s="50">
        <f t="shared" ref="B11:AA11" si="6">SUM(B12:B16)</f>
        <v>58.63824807893063</v>
      </c>
      <c r="C11" s="50">
        <f t="shared" si="6"/>
        <v>58.897491713722538</v>
      </c>
      <c r="D11" s="50">
        <f t="shared" si="6"/>
        <v>71.059160241550302</v>
      </c>
      <c r="E11" s="50">
        <f t="shared" si="6"/>
        <v>86.825728805227115</v>
      </c>
      <c r="F11" s="50">
        <f t="shared" si="6"/>
        <v>114.8690103842582</v>
      </c>
      <c r="G11" s="50">
        <f t="shared" si="6"/>
        <v>152.45968723269635</v>
      </c>
      <c r="H11" s="50">
        <f t="shared" si="6"/>
        <v>226.2613291198754</v>
      </c>
      <c r="I11" s="50">
        <f t="shared" si="6"/>
        <v>281.95590568451934</v>
      </c>
      <c r="J11" s="50">
        <f t="shared" si="6"/>
        <v>346.87148954799852</v>
      </c>
      <c r="K11" s="50">
        <f t="shared" si="6"/>
        <v>154.25188472203678</v>
      </c>
      <c r="L11" s="50">
        <f t="shared" si="6"/>
        <v>167.98213728726782</v>
      </c>
      <c r="M11" s="50">
        <f t="shared" si="6"/>
        <v>174.55324994623234</v>
      </c>
      <c r="N11" s="50">
        <f t="shared" si="6"/>
        <v>171.06504065884812</v>
      </c>
      <c r="O11" s="50">
        <f t="shared" si="6"/>
        <v>165.9010541010974</v>
      </c>
      <c r="P11" s="50">
        <f t="shared" si="6"/>
        <v>164.265325645416</v>
      </c>
      <c r="Q11" s="50">
        <f t="shared" si="6"/>
        <v>160.43162164786645</v>
      </c>
      <c r="R11" s="50">
        <f t="shared" si="6"/>
        <v>158.58746276385691</v>
      </c>
      <c r="S11" s="50">
        <f t="shared" si="6"/>
        <v>151.26650597607718</v>
      </c>
      <c r="T11" s="50">
        <f t="shared" si="6"/>
        <v>110.89293908352374</v>
      </c>
      <c r="U11" s="50">
        <f t="shared" si="6"/>
        <v>101.61490455399006</v>
      </c>
      <c r="V11" s="50">
        <f t="shared" si="6"/>
        <v>96.264648379835222</v>
      </c>
      <c r="W11" s="50">
        <f t="shared" si="6"/>
        <v>96.918934924746708</v>
      </c>
      <c r="X11" s="50">
        <f t="shared" si="6"/>
        <v>96.559672238131071</v>
      </c>
      <c r="Y11" s="50">
        <f t="shared" si="6"/>
        <v>101.27574285094026</v>
      </c>
      <c r="Z11" s="50">
        <f t="shared" si="6"/>
        <v>106.40562757845119</v>
      </c>
      <c r="AA11" s="50">
        <f t="shared" si="6"/>
        <v>128.4432814426745</v>
      </c>
      <c r="AB11" s="50">
        <f>SUM(AB12:AB16)</f>
        <v>165.51488046084572</v>
      </c>
      <c r="AC11" s="50">
        <f>SUM(AC12:AC16)</f>
        <v>181.36661179808183</v>
      </c>
      <c r="AD11" s="50">
        <f t="shared" ref="AD11:AK11" si="7">SUM(AD12:AD16)</f>
        <v>205.05290145857282</v>
      </c>
      <c r="AE11" s="50">
        <f t="shared" si="7"/>
        <v>221.94454203389307</v>
      </c>
      <c r="AF11" s="50">
        <f t="shared" si="7"/>
        <v>189.47380478450563</v>
      </c>
      <c r="AG11" s="50">
        <f t="shared" si="7"/>
        <v>221.13305372023484</v>
      </c>
      <c r="AH11" s="50">
        <f t="shared" si="7"/>
        <v>247.87501623436148</v>
      </c>
      <c r="AI11" s="50">
        <f t="shared" si="7"/>
        <v>250.1725975276936</v>
      </c>
      <c r="AJ11" s="50">
        <f t="shared" si="7"/>
        <v>247.10507950104741</v>
      </c>
      <c r="AK11" s="50">
        <f t="shared" si="7"/>
        <v>240.70891189333551</v>
      </c>
      <c r="AL11" s="9">
        <f t="shared" si="2"/>
        <v>4.5364045971644326E-2</v>
      </c>
      <c r="AM11" s="9">
        <f t="shared" si="5"/>
        <v>3.1049813011010623</v>
      </c>
      <c r="AN11" s="6"/>
      <c r="AO11" s="11">
        <f t="shared" si="3"/>
        <v>-2.5884403593106998E-2</v>
      </c>
      <c r="AP11" s="12">
        <f t="shared" si="4"/>
        <v>-6.3961676077119023</v>
      </c>
    </row>
    <row r="12" spans="1:42" outlineLevel="1" x14ac:dyDescent="0.25">
      <c r="A12" s="51" t="s">
        <v>19</v>
      </c>
      <c r="B12" s="52">
        <f>#REF!*265</f>
        <v>0.34585244114233493</v>
      </c>
      <c r="C12" s="52">
        <f>#REF!*265</f>
        <v>0.31365861641057624</v>
      </c>
      <c r="D12" s="52">
        <f>#REF!*265</f>
        <v>0.3109246633190525</v>
      </c>
      <c r="E12" s="52">
        <f>#REF!*265</f>
        <v>0.26742585683225156</v>
      </c>
      <c r="F12" s="52">
        <f>#REF!*265</f>
        <v>0.27791164845000504</v>
      </c>
      <c r="G12" s="52">
        <f>#REF!*265</f>
        <v>0.32680165584263626</v>
      </c>
      <c r="H12" s="52">
        <f>#REF!*265</f>
        <v>0.3496596710655156</v>
      </c>
      <c r="I12" s="52">
        <f>#REF!*265</f>
        <v>0.36736176128571463</v>
      </c>
      <c r="J12" s="52">
        <f>#REF!*265</f>
        <v>0.40605893741780946</v>
      </c>
      <c r="K12" s="52">
        <f>#REF!*265</f>
        <v>0.4599256356097815</v>
      </c>
      <c r="L12" s="52">
        <f>#REF!*265</f>
        <v>0.49765655085320221</v>
      </c>
      <c r="M12" s="52">
        <f>#REF!*265</f>
        <v>0.49445045802524334</v>
      </c>
      <c r="N12" s="52">
        <f>#REF!*265</f>
        <v>0.49001383070828847</v>
      </c>
      <c r="O12" s="52">
        <f>#REF!*265</f>
        <v>0.50862185041569907</v>
      </c>
      <c r="P12" s="52">
        <f>#REF!*265</f>
        <v>0.48545433039806474</v>
      </c>
      <c r="Q12" s="52">
        <f>#REF!*265</f>
        <v>0.57313691784784238</v>
      </c>
      <c r="R12" s="52">
        <f>#REF!*265</f>
        <v>0.65762381109769241</v>
      </c>
      <c r="S12" s="52">
        <f>#REF!*265</f>
        <v>0.60748993186115585</v>
      </c>
      <c r="T12" s="52">
        <f>#REF!*265</f>
        <v>0.57542859422866588</v>
      </c>
      <c r="U12" s="52">
        <f>#REF!*265</f>
        <v>0.46879948892575041</v>
      </c>
      <c r="V12" s="52">
        <f>#REF!*265</f>
        <v>0.35377666320053497</v>
      </c>
      <c r="W12" s="52">
        <f>#REF!*265</f>
        <v>0.17623128750263867</v>
      </c>
      <c r="X12" s="52">
        <f>#REF!*265</f>
        <v>0.1072071177290051</v>
      </c>
      <c r="Y12" s="52">
        <f>#REF!*265</f>
        <v>0.10996135355876489</v>
      </c>
      <c r="Z12" s="52">
        <f>#REF!*265</f>
        <v>0.10507758818658988</v>
      </c>
      <c r="AA12" s="52">
        <f>#REF!*265</f>
        <v>0.11185182580412033</v>
      </c>
      <c r="AB12" s="52">
        <f>#REF!*265</f>
        <v>0.12047772440360655</v>
      </c>
      <c r="AC12" s="52">
        <f>#REF!*265</f>
        <v>0.12553742569936116</v>
      </c>
      <c r="AD12" s="52">
        <f>#REF!*265</f>
        <v>0.11934880582918019</v>
      </c>
      <c r="AE12" s="52">
        <f>#REF!*265</f>
        <v>0.12812479880276989</v>
      </c>
      <c r="AF12" s="52">
        <f>#REF!*265</f>
        <v>9.7324527989375909E-2</v>
      </c>
      <c r="AG12" s="52">
        <f>#REF!*265</f>
        <v>0.14090757181955071</v>
      </c>
      <c r="AH12" s="52">
        <f>#REF!*265</f>
        <v>0.15504759451720701</v>
      </c>
      <c r="AI12" s="52">
        <f>#REF!*265</f>
        <v>0.16608497139345207</v>
      </c>
      <c r="AJ12" s="52">
        <f>#REF!*265</f>
        <v>0.1861810393776743</v>
      </c>
      <c r="AK12" s="52">
        <f>#REF!*265</f>
        <v>0.19987477975866669</v>
      </c>
      <c r="AL12" s="15">
        <f t="shared" si="2"/>
        <v>3.7668437891332934E-5</v>
      </c>
      <c r="AM12" s="15">
        <f t="shared" si="5"/>
        <v>-0.42208076051598958</v>
      </c>
      <c r="AN12" s="6"/>
      <c r="AO12" s="16">
        <f t="shared" si="3"/>
        <v>7.3550671039139426E-2</v>
      </c>
      <c r="AP12" s="17">
        <f t="shared" si="4"/>
        <v>1.3693740380992386E-2</v>
      </c>
    </row>
    <row r="13" spans="1:42" outlineLevel="1" x14ac:dyDescent="0.25">
      <c r="A13" s="51" t="s">
        <v>20</v>
      </c>
      <c r="B13" s="52">
        <f>#REF!*265</f>
        <v>43.887755738118756</v>
      </c>
      <c r="C13" s="52">
        <f>#REF!*265</f>
        <v>44.597250906396944</v>
      </c>
      <c r="D13" s="52">
        <f>#REF!*265</f>
        <v>58.075282349258501</v>
      </c>
      <c r="E13" s="52">
        <f>#REF!*265</f>
        <v>72.722075115818953</v>
      </c>
      <c r="F13" s="52">
        <f>#REF!*265</f>
        <v>101.43255384387285</v>
      </c>
      <c r="G13" s="52">
        <f>#REF!*265</f>
        <v>139.91265504983423</v>
      </c>
      <c r="H13" s="52">
        <f>#REF!*265</f>
        <v>211.68992664862813</v>
      </c>
      <c r="I13" s="52">
        <f>#REF!*265</f>
        <v>267.83530299111345</v>
      </c>
      <c r="J13" s="52">
        <f>#REF!*265</f>
        <v>332.27964189264873</v>
      </c>
      <c r="K13" s="52">
        <f>#REF!*265</f>
        <v>140.01059134755022</v>
      </c>
      <c r="L13" s="52">
        <f>#REF!*265</f>
        <v>153.64944880405307</v>
      </c>
      <c r="M13" s="52">
        <f>#REF!*265</f>
        <v>159.03501233881892</v>
      </c>
      <c r="N13" s="52">
        <f>#REF!*265</f>
        <v>157.22692863101446</v>
      </c>
      <c r="O13" s="52">
        <f>#REF!*265</f>
        <v>150.68270571401976</v>
      </c>
      <c r="P13" s="52">
        <f>#REF!*265</f>
        <v>147.96070299994935</v>
      </c>
      <c r="Q13" s="52">
        <f>#REF!*265</f>
        <v>145.65548905794088</v>
      </c>
      <c r="R13" s="52">
        <f>#REF!*265</f>
        <v>143.4345385697205</v>
      </c>
      <c r="S13" s="52">
        <f>#REF!*265</f>
        <v>135.52142307505</v>
      </c>
      <c r="T13" s="52">
        <f>#REF!*265</f>
        <v>94.304595121195135</v>
      </c>
      <c r="U13" s="52">
        <f>#REF!*265</f>
        <v>86.942841492372807</v>
      </c>
      <c r="V13" s="52">
        <f>#REF!*265</f>
        <v>81.794459044493721</v>
      </c>
      <c r="W13" s="52">
        <f>#REF!*265</f>
        <v>82.813762139513486</v>
      </c>
      <c r="X13" s="52">
        <f>#REF!*265</f>
        <v>82.869407545295601</v>
      </c>
      <c r="Y13" s="52">
        <f>#REF!*265</f>
        <v>87.657900236004693</v>
      </c>
      <c r="Z13" s="52">
        <f>#REF!*265</f>
        <v>93.473980033353769</v>
      </c>
      <c r="AA13" s="52">
        <f>#REF!*265</f>
        <v>115.31776420005183</v>
      </c>
      <c r="AB13" s="52">
        <f>#REF!*265</f>
        <v>151.85077619910794</v>
      </c>
      <c r="AC13" s="52">
        <f>#REF!*265</f>
        <v>167.55072385551986</v>
      </c>
      <c r="AD13" s="52">
        <f>#REF!*265</f>
        <v>190.93324542059341</v>
      </c>
      <c r="AE13" s="52">
        <f>#REF!*265</f>
        <v>207.13367467565371</v>
      </c>
      <c r="AF13" s="52">
        <f>#REF!*265</f>
        <v>176.81719438320349</v>
      </c>
      <c r="AG13" s="52">
        <f>#REF!*265</f>
        <v>207.44302483340905</v>
      </c>
      <c r="AH13" s="52">
        <f>#REF!*265</f>
        <v>233.27362031934035</v>
      </c>
      <c r="AI13" s="52">
        <f>#REF!*265</f>
        <v>234.31998732323669</v>
      </c>
      <c r="AJ13" s="52">
        <f>#REF!*265</f>
        <v>230.26420776302058</v>
      </c>
      <c r="AK13" s="52">
        <f>#REF!*265</f>
        <v>223.11904134372887</v>
      </c>
      <c r="AL13" s="15">
        <f t="shared" si="2"/>
        <v>4.2049055720675889E-2</v>
      </c>
      <c r="AM13" s="15">
        <f t="shared" si="5"/>
        <v>4.083856250820741</v>
      </c>
      <c r="AN13" s="6"/>
      <c r="AO13" s="16">
        <f t="shared" si="3"/>
        <v>-3.1030295540526446E-2</v>
      </c>
      <c r="AP13" s="17">
        <f t="shared" si="4"/>
        <v>-7.1451664192917121</v>
      </c>
    </row>
    <row r="14" spans="1:42" outlineLevel="1" x14ac:dyDescent="0.25">
      <c r="A14" s="51" t="s">
        <v>21</v>
      </c>
      <c r="B14" s="52">
        <f>#REF!*265</f>
        <v>13.771582624800002</v>
      </c>
      <c r="C14" s="52">
        <f>#REF!*265</f>
        <v>13.3749356598</v>
      </c>
      <c r="D14" s="52">
        <f>#REF!*265</f>
        <v>11.9946042216</v>
      </c>
      <c r="E14" s="52">
        <f>#REF!*265</f>
        <v>13.168679238000003</v>
      </c>
      <c r="F14" s="52">
        <f>#REF!*265</f>
        <v>12.407117065200001</v>
      </c>
      <c r="G14" s="52">
        <f>#REF!*265</f>
        <v>11.518627863600001</v>
      </c>
      <c r="H14" s="52">
        <f>#REF!*265</f>
        <v>13.422533295600001</v>
      </c>
      <c r="I14" s="52">
        <f>#REF!*265</f>
        <v>12.9465569376</v>
      </c>
      <c r="J14" s="52">
        <f>#REF!*265</f>
        <v>13.327338024000001</v>
      </c>
      <c r="K14" s="52">
        <f>#REF!*265</f>
        <v>12.8196299088</v>
      </c>
      <c r="L14" s="52">
        <f>#REF!*265</f>
        <v>12.733954164360004</v>
      </c>
      <c r="M14" s="52">
        <f>#REF!*265</f>
        <v>13.898509653600001</v>
      </c>
      <c r="N14" s="52">
        <f>#REF!*265</f>
        <v>12.1532630076</v>
      </c>
      <c r="O14" s="52">
        <f>#REF!*265</f>
        <v>13.422533295600001</v>
      </c>
      <c r="P14" s="52">
        <f>#REF!*265</f>
        <v>14.152363711200001</v>
      </c>
      <c r="Q14" s="52">
        <f>#REF!*265</f>
        <v>12.635038062347212</v>
      </c>
      <c r="R14" s="52">
        <f>#REF!*265</f>
        <v>12.635038062347212</v>
      </c>
      <c r="S14" s="52">
        <f>#REF!*265</f>
        <v>13.664168854853996</v>
      </c>
      <c r="T14" s="52">
        <f>#REF!*265</f>
        <v>14.481195957641022</v>
      </c>
      <c r="U14" s="52">
        <f>#REF!*265</f>
        <v>12.706843122502102</v>
      </c>
      <c r="V14" s="52">
        <f>#REF!*265</f>
        <v>12.609746603850411</v>
      </c>
      <c r="W14" s="52">
        <f>#REF!*265</f>
        <v>12.616032465863142</v>
      </c>
      <c r="X14" s="52">
        <f>#REF!*265</f>
        <v>12.20479827046527</v>
      </c>
      <c r="Y14" s="52">
        <f>#REF!*265</f>
        <v>12.15433441270542</v>
      </c>
      <c r="Z14" s="52">
        <f>#REF!*265</f>
        <v>11.149945519737754</v>
      </c>
      <c r="AA14" s="52">
        <f>#REF!*265</f>
        <v>11.363253601477641</v>
      </c>
      <c r="AB14" s="52">
        <f>#REF!*265</f>
        <v>11.572817659462116</v>
      </c>
      <c r="AC14" s="52">
        <f>#REF!*265</f>
        <v>11.946497255851353</v>
      </c>
      <c r="AD14" s="52">
        <f>#REF!*265</f>
        <v>12.071782767537076</v>
      </c>
      <c r="AE14" s="52">
        <f>#REF!*265</f>
        <v>12.632453238224008</v>
      </c>
      <c r="AF14" s="52">
        <f>#REF!*265</f>
        <v>10.064402817060449</v>
      </c>
      <c r="AG14" s="52">
        <f>#REF!*265</f>
        <v>10.884297683942595</v>
      </c>
      <c r="AH14" s="52">
        <f>#REF!*265</f>
        <v>12.169122668384976</v>
      </c>
      <c r="AI14" s="52">
        <f>#REF!*265</f>
        <v>13.297444686752296</v>
      </c>
      <c r="AJ14" s="52">
        <f>#REF!*265</f>
        <v>14.4002219024794</v>
      </c>
      <c r="AK14" s="52">
        <f>#REF!*265</f>
        <v>15.000892967212796</v>
      </c>
      <c r="AL14" s="15">
        <f t="shared" si="2"/>
        <v>2.8270710578505937E-3</v>
      </c>
      <c r="AM14" s="15">
        <f t="shared" si="5"/>
        <v>8.9264275276469601E-2</v>
      </c>
      <c r="AN14" s="6"/>
      <c r="AO14" s="16">
        <f t="shared" si="3"/>
        <v>4.171262559710788E-2</v>
      </c>
      <c r="AP14" s="17">
        <f t="shared" si="4"/>
        <v>0.60067106473339571</v>
      </c>
    </row>
    <row r="15" spans="1:42" outlineLevel="1" x14ac:dyDescent="0.25">
      <c r="A15" s="51" t="s">
        <v>22</v>
      </c>
      <c r="B15" s="52">
        <f>#REF!*265</f>
        <v>0.59777304955199995</v>
      </c>
      <c r="C15" s="52">
        <f>#REF!*265</f>
        <v>0.57591807915600002</v>
      </c>
      <c r="D15" s="52">
        <f>#REF!*265</f>
        <v>0.64258139732399999</v>
      </c>
      <c r="E15" s="52">
        <f>#REF!*265</f>
        <v>0.64258139732399999</v>
      </c>
      <c r="F15" s="52">
        <f>#REF!*265</f>
        <v>0.73000127890800004</v>
      </c>
      <c r="G15" s="52">
        <f>#REF!*265</f>
        <v>0.64148299034399991</v>
      </c>
      <c r="H15" s="52">
        <f>#REF!*265</f>
        <v>0.73439490682800002</v>
      </c>
      <c r="I15" s="52">
        <f>#REF!*265</f>
        <v>0.75624987722400017</v>
      </c>
      <c r="J15" s="52">
        <f>#REF!*265</f>
        <v>0.82511000935200007</v>
      </c>
      <c r="K15" s="52">
        <f>#REF!*265</f>
        <v>0.91582511187600002</v>
      </c>
      <c r="L15" s="52">
        <f>#REF!*265</f>
        <v>1.0723613155598786</v>
      </c>
      <c r="M15" s="52">
        <f>#REF!*265</f>
        <v>1.0759127264717572</v>
      </c>
      <c r="N15" s="52">
        <f>#REF!*265</f>
        <v>1.1450290485716355</v>
      </c>
      <c r="O15" s="52">
        <f>#REF!*265</f>
        <v>1.2360003410675138</v>
      </c>
      <c r="P15" s="52">
        <f>#REF!*265</f>
        <v>1.6107357734231744</v>
      </c>
      <c r="Q15" s="52">
        <f>#REF!*265</f>
        <v>1.4967943979027016</v>
      </c>
      <c r="R15" s="52">
        <f>#REF!*265</f>
        <v>1.7897499992125974</v>
      </c>
      <c r="S15" s="52">
        <f>#REF!*265</f>
        <v>1.4133757615528735</v>
      </c>
      <c r="T15" s="52">
        <f>#REF!*265</f>
        <v>1.4649385713883438</v>
      </c>
      <c r="U15" s="52">
        <f>#REF!*265</f>
        <v>1.4276354583528423</v>
      </c>
      <c r="V15" s="52">
        <f>#REF!*265</f>
        <v>1.4319033288574345</v>
      </c>
      <c r="W15" s="52">
        <f>#REF!*265</f>
        <v>1.2430848274257107</v>
      </c>
      <c r="X15" s="52">
        <f>#REF!*265</f>
        <v>1.3136924672819408</v>
      </c>
      <c r="Y15" s="52">
        <f>#REF!*265</f>
        <v>1.284986631660255</v>
      </c>
      <c r="Z15" s="52">
        <f>#REF!*265</f>
        <v>1.6085998519396629</v>
      </c>
      <c r="AA15" s="52">
        <f>#REF!*265</f>
        <v>1.5865773007756887</v>
      </c>
      <c r="AB15" s="52">
        <f>#REF!*265</f>
        <v>1.906591250740868</v>
      </c>
      <c r="AC15" s="52">
        <f>#REF!*265</f>
        <v>1.6835168526762208</v>
      </c>
      <c r="AD15" s="52">
        <f>#REF!*265</f>
        <v>1.8620488986256891</v>
      </c>
      <c r="AE15" s="52">
        <f>#REF!*265</f>
        <v>1.9831602038916345</v>
      </c>
      <c r="AF15" s="52">
        <f>#REF!*265</f>
        <v>2.4252697637505678</v>
      </c>
      <c r="AG15" s="52">
        <f>#REF!*265</f>
        <v>2.5934569014561788</v>
      </c>
      <c r="AH15" s="52">
        <f>#REF!*265</f>
        <v>2.2056724696872831</v>
      </c>
      <c r="AI15" s="52">
        <f>#REF!*265</f>
        <v>2.3192845324921887</v>
      </c>
      <c r="AJ15" s="52">
        <f>#REF!*265</f>
        <v>2.1817582711302457</v>
      </c>
      <c r="AK15" s="52">
        <f>#REF!*265</f>
        <v>2.3144381226022461</v>
      </c>
      <c r="AL15" s="15">
        <f t="shared" si="2"/>
        <v>4.3617943584398463E-4</v>
      </c>
      <c r="AM15" s="15">
        <f t="shared" si="5"/>
        <v>2.871767260730135</v>
      </c>
      <c r="AN15" s="6"/>
      <c r="AO15" s="16">
        <f t="shared" si="3"/>
        <v>6.0813268466843727E-2</v>
      </c>
      <c r="AP15" s="17">
        <f t="shared" si="4"/>
        <v>0.13267985147200045</v>
      </c>
    </row>
    <row r="16" spans="1:42" outlineLevel="1" x14ac:dyDescent="0.25">
      <c r="A16" s="51" t="s">
        <v>23</v>
      </c>
      <c r="B16" s="52">
        <f>#REF!*265</f>
        <v>3.5284225317539275E-2</v>
      </c>
      <c r="C16" s="52">
        <f>#REF!*265</f>
        <v>3.5728451959019074E-2</v>
      </c>
      <c r="D16" s="52">
        <f>#REF!*265</f>
        <v>3.5767610048768647E-2</v>
      </c>
      <c r="E16" s="52">
        <f>#REF!*265</f>
        <v>2.4967197251907478E-2</v>
      </c>
      <c r="F16" s="52">
        <f>#REF!*265</f>
        <v>2.142654782734418E-2</v>
      </c>
      <c r="G16" s="52">
        <f>#REF!*265</f>
        <v>6.0119673075479309E-2</v>
      </c>
      <c r="H16" s="52">
        <f>#REF!*265</f>
        <v>6.4814597753746511E-2</v>
      </c>
      <c r="I16" s="52">
        <f>#REF!*265</f>
        <v>5.0434117296149168E-2</v>
      </c>
      <c r="J16" s="52">
        <f>#REF!*265</f>
        <v>3.334068457995007E-2</v>
      </c>
      <c r="K16" s="52">
        <f>#REF!*265</f>
        <v>4.591271820079465E-2</v>
      </c>
      <c r="L16" s="52">
        <f>#REF!*265</f>
        <v>2.8716452441669794E-2</v>
      </c>
      <c r="M16" s="52">
        <f>#REF!*265</f>
        <v>4.9364769316424424E-2</v>
      </c>
      <c r="N16" s="52">
        <f>#REF!*265</f>
        <v>4.9806140953720691E-2</v>
      </c>
      <c r="O16" s="52">
        <f>#REF!*265</f>
        <v>5.1192899994428817E-2</v>
      </c>
      <c r="P16" s="52">
        <f>#REF!*265</f>
        <v>5.606883044542095E-2</v>
      </c>
      <c r="Q16" s="52">
        <f>#REF!*265</f>
        <v>7.116321182781965E-2</v>
      </c>
      <c r="R16" s="52">
        <f>#REF!*265</f>
        <v>7.0512321478904294E-2</v>
      </c>
      <c r="S16" s="52">
        <f>#REF!*265</f>
        <v>6.004835275916099E-2</v>
      </c>
      <c r="T16" s="52">
        <f>#REF!*265</f>
        <v>6.678083907058005E-2</v>
      </c>
      <c r="U16" s="52">
        <f>#REF!*265</f>
        <v>6.8784991836546516E-2</v>
      </c>
      <c r="V16" s="52">
        <f>#REF!*265</f>
        <v>7.4762739433119382E-2</v>
      </c>
      <c r="W16" s="52">
        <f>#REF!*265</f>
        <v>6.9824204441724658E-2</v>
      </c>
      <c r="X16" s="52">
        <f>#REF!*265</f>
        <v>6.4566837359256515E-2</v>
      </c>
      <c r="Y16" s="52">
        <f>#REF!*265</f>
        <v>6.8560217011131658E-2</v>
      </c>
      <c r="Z16" s="52">
        <f>#REF!*265</f>
        <v>6.8024585233414009E-2</v>
      </c>
      <c r="AA16" s="52">
        <f>#REF!*265</f>
        <v>6.3834514565223544E-2</v>
      </c>
      <c r="AB16" s="52">
        <f>#REF!*265</f>
        <v>6.4217627131194763E-2</v>
      </c>
      <c r="AC16" s="52">
        <f>#REF!*265</f>
        <v>6.0336408335043938E-2</v>
      </c>
      <c r="AD16" s="52">
        <f>#REF!*265</f>
        <v>6.647556598745015E-2</v>
      </c>
      <c r="AE16" s="52">
        <f>#REF!*265</f>
        <v>6.7129117320969225E-2</v>
      </c>
      <c r="AF16" s="52">
        <f>#REF!*265</f>
        <v>6.961329250174747E-2</v>
      </c>
      <c r="AG16" s="52">
        <f>#REF!*265</f>
        <v>7.1366729607467927E-2</v>
      </c>
      <c r="AH16" s="52">
        <f>#REF!*265</f>
        <v>7.1553182431682863E-2</v>
      </c>
      <c r="AI16" s="52">
        <f>#REF!*265</f>
        <v>6.9796013818968911E-2</v>
      </c>
      <c r="AJ16" s="52">
        <f>#REF!*265</f>
        <v>7.2710525039537954E-2</v>
      </c>
      <c r="AK16" s="52">
        <f>#REF!*265</f>
        <v>7.4664680032947781E-2</v>
      </c>
      <c r="AL16" s="15">
        <f t="shared" si="2"/>
        <v>1.4071319382531492E-5</v>
      </c>
      <c r="AM16" s="15">
        <f t="shared" si="5"/>
        <v>1.1160923716194799</v>
      </c>
      <c r="AN16" s="6"/>
      <c r="AO16" s="16">
        <f t="shared" si="3"/>
        <v>2.6875820142231284E-2</v>
      </c>
      <c r="AP16" s="17">
        <f t="shared" si="4"/>
        <v>1.9541549934098262E-3</v>
      </c>
    </row>
    <row r="17" spans="1:48" x14ac:dyDescent="0.25">
      <c r="A17" s="53" t="s">
        <v>24</v>
      </c>
      <c r="B17" s="50">
        <f t="shared" ref="B17:AA17" si="8">SUM(B18:B22)</f>
        <v>912.97110999999995</v>
      </c>
      <c r="C17" s="50">
        <f t="shared" si="8"/>
        <v>722.54131500000005</v>
      </c>
      <c r="D17" s="50">
        <f t="shared" si="8"/>
        <v>722.77027500000008</v>
      </c>
      <c r="E17" s="50">
        <f t="shared" si="8"/>
        <v>722.92609500000003</v>
      </c>
      <c r="F17" s="50">
        <f t="shared" si="8"/>
        <v>723.01990500000011</v>
      </c>
      <c r="G17" s="50">
        <f t="shared" si="8"/>
        <v>723.142335</v>
      </c>
      <c r="H17" s="50">
        <f t="shared" si="8"/>
        <v>723.33949500000006</v>
      </c>
      <c r="I17" s="50">
        <f t="shared" si="8"/>
        <v>723.64318500000002</v>
      </c>
      <c r="J17" s="50">
        <f t="shared" si="8"/>
        <v>723.9516450000001</v>
      </c>
      <c r="K17" s="50">
        <f t="shared" si="8"/>
        <v>724.25772000000006</v>
      </c>
      <c r="L17" s="50">
        <f t="shared" si="8"/>
        <v>724.63852500000007</v>
      </c>
      <c r="M17" s="50">
        <f t="shared" si="8"/>
        <v>530.11023999999998</v>
      </c>
      <c r="N17" s="50">
        <f t="shared" si="8"/>
        <v>280.90423999999996</v>
      </c>
      <c r="O17" s="50">
        <f t="shared" si="8"/>
        <v>31.640204999999998</v>
      </c>
      <c r="P17" s="50">
        <f t="shared" si="8"/>
        <v>32.15934</v>
      </c>
      <c r="Q17" s="50">
        <f t="shared" si="8"/>
        <v>32.863709999999998</v>
      </c>
      <c r="R17" s="50">
        <f t="shared" si="8"/>
        <v>33.651554999999995</v>
      </c>
      <c r="S17" s="50">
        <f t="shared" si="8"/>
        <v>34.787610000000001</v>
      </c>
      <c r="T17" s="50">
        <f t="shared" si="8"/>
        <v>35.656545000000001</v>
      </c>
      <c r="U17" s="50">
        <f t="shared" si="8"/>
        <v>36.040529999999997</v>
      </c>
      <c r="V17" s="50">
        <f t="shared" si="8"/>
        <v>36.210660000000004</v>
      </c>
      <c r="W17" s="50">
        <f t="shared" si="8"/>
        <v>36.370454999999993</v>
      </c>
      <c r="X17" s="50">
        <f t="shared" si="8"/>
        <v>36.519914999999997</v>
      </c>
      <c r="Y17" s="50">
        <f t="shared" si="8"/>
        <v>36.686865000000004</v>
      </c>
      <c r="Z17" s="50">
        <f t="shared" si="8"/>
        <v>36.930929999999996</v>
      </c>
      <c r="AA17" s="50">
        <f t="shared" si="8"/>
        <v>37.268009999999997</v>
      </c>
      <c r="AB17" s="50">
        <f>SUM(AB18:AB22)</f>
        <v>37.679819999999999</v>
      </c>
      <c r="AC17" s="50">
        <f>SUM(AC18:AC22)</f>
        <v>38.246654999999997</v>
      </c>
      <c r="AD17" s="50">
        <f t="shared" ref="AD17:AF17" si="9">SUM(AD18:AD22)</f>
        <v>38.834955000000001</v>
      </c>
      <c r="AE17" s="50">
        <f t="shared" si="9"/>
        <v>39.420074999999997</v>
      </c>
      <c r="AF17" s="50">
        <f t="shared" si="9"/>
        <v>39.987704999999998</v>
      </c>
      <c r="AG17" s="50">
        <f>SUM(AG18:AG22)</f>
        <v>40.343864999999994</v>
      </c>
      <c r="AH17" s="50">
        <f>SUM(AH18:AH22)</f>
        <v>41.212799999999994</v>
      </c>
      <c r="AI17" s="50">
        <f>SUM(AI18:AI22)</f>
        <v>41.988720000000001</v>
      </c>
      <c r="AJ17" s="50">
        <f>SUM(AJ18:AJ22)</f>
        <v>42.773384999999998</v>
      </c>
      <c r="AK17" s="50">
        <f>SUM(AK18:AK22)</f>
        <v>43.395870000000002</v>
      </c>
      <c r="AL17" s="9">
        <f t="shared" si="2"/>
        <v>8.1783936713230015E-3</v>
      </c>
      <c r="AM17" s="9">
        <f t="shared" si="5"/>
        <v>-0.95246742254527628</v>
      </c>
      <c r="AN17" s="6"/>
      <c r="AO17" s="11">
        <f t="shared" si="3"/>
        <v>1.4553091835027895E-2</v>
      </c>
      <c r="AP17" s="12">
        <f t="shared" si="4"/>
        <v>0.62248500000000462</v>
      </c>
    </row>
    <row r="18" spans="1:48" outlineLevel="1" x14ac:dyDescent="0.25">
      <c r="A18" s="51" t="s">
        <v>25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15"/>
      <c r="AM18" s="15"/>
      <c r="AN18" s="6"/>
      <c r="AO18" s="16"/>
      <c r="AP18" s="17"/>
    </row>
    <row r="19" spans="1:48" outlineLevel="1" x14ac:dyDescent="0.25">
      <c r="A19" s="51" t="s">
        <v>26</v>
      </c>
      <c r="B19" s="52">
        <f>#REF!*265</f>
        <v>885.09999999999991</v>
      </c>
      <c r="C19" s="52">
        <f>#REF!*265</f>
        <v>694.51200000000006</v>
      </c>
      <c r="D19" s="52">
        <f>#REF!*265</f>
        <v>694.51200000000006</v>
      </c>
      <c r="E19" s="52">
        <f>#REF!*265</f>
        <v>694.51200000000006</v>
      </c>
      <c r="F19" s="52">
        <f>#REF!*265</f>
        <v>694.51200000000006</v>
      </c>
      <c r="G19" s="52">
        <f>#REF!*265</f>
        <v>694.51200000000006</v>
      </c>
      <c r="H19" s="52">
        <f>#REF!*265</f>
        <v>694.51200000000006</v>
      </c>
      <c r="I19" s="52">
        <f>#REF!*265</f>
        <v>694.51200000000006</v>
      </c>
      <c r="J19" s="52">
        <f>#REF!*265</f>
        <v>694.51200000000006</v>
      </c>
      <c r="K19" s="52">
        <f>#REF!*265</f>
        <v>694.51200000000006</v>
      </c>
      <c r="L19" s="52">
        <f>#REF!*265</f>
        <v>694.51200000000006</v>
      </c>
      <c r="M19" s="52">
        <f>#REF!*265</f>
        <v>499.52499999999998</v>
      </c>
      <c r="N19" s="52">
        <f>#REF!*265</f>
        <v>249.76249999999999</v>
      </c>
      <c r="O19" s="52" t="s">
        <v>56</v>
      </c>
      <c r="P19" s="52" t="s">
        <v>56</v>
      </c>
      <c r="Q19" s="52" t="s">
        <v>56</v>
      </c>
      <c r="R19" s="52" t="s">
        <v>56</v>
      </c>
      <c r="S19" s="52" t="s">
        <v>56</v>
      </c>
      <c r="T19" s="52" t="s">
        <v>56</v>
      </c>
      <c r="U19" s="52" t="s">
        <v>56</v>
      </c>
      <c r="V19" s="52" t="s">
        <v>56</v>
      </c>
      <c r="W19" s="52" t="s">
        <v>56</v>
      </c>
      <c r="X19" s="52" t="s">
        <v>56</v>
      </c>
      <c r="Y19" s="52" t="s">
        <v>56</v>
      </c>
      <c r="Z19" s="52" t="s">
        <v>56</v>
      </c>
      <c r="AA19" s="52" t="s">
        <v>56</v>
      </c>
      <c r="AB19" s="52" t="s">
        <v>56</v>
      </c>
      <c r="AC19" s="52" t="s">
        <v>56</v>
      </c>
      <c r="AD19" s="52" t="s">
        <v>56</v>
      </c>
      <c r="AE19" s="52" t="s">
        <v>56</v>
      </c>
      <c r="AF19" s="52" t="s">
        <v>56</v>
      </c>
      <c r="AG19" s="52" t="s">
        <v>56</v>
      </c>
      <c r="AH19" s="52" t="s">
        <v>56</v>
      </c>
      <c r="AI19" s="52" t="s">
        <v>56</v>
      </c>
      <c r="AJ19" s="52" t="s">
        <v>56</v>
      </c>
      <c r="AK19" s="52" t="s">
        <v>56</v>
      </c>
      <c r="AL19" s="15"/>
      <c r="AM19" s="15"/>
      <c r="AN19" s="6"/>
      <c r="AO19" s="16"/>
      <c r="AP19" s="17"/>
    </row>
    <row r="20" spans="1:48" outlineLevel="1" x14ac:dyDescent="0.25">
      <c r="A20" s="51" t="s">
        <v>27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15"/>
      <c r="AM20" s="15"/>
      <c r="AN20" s="6"/>
      <c r="AO20" s="16"/>
      <c r="AP20" s="17"/>
    </row>
    <row r="21" spans="1:48" outlineLevel="1" x14ac:dyDescent="0.25">
      <c r="A21" s="51" t="s">
        <v>28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15"/>
      <c r="AM21" s="15"/>
      <c r="AN21" s="6"/>
      <c r="AO21" s="16"/>
      <c r="AP21" s="17"/>
    </row>
    <row r="22" spans="1:48" outlineLevel="1" x14ac:dyDescent="0.25">
      <c r="A22" s="51" t="s">
        <v>29</v>
      </c>
      <c r="B22" s="52">
        <f>(#REF!*265)</f>
        <v>27.871110000000002</v>
      </c>
      <c r="C22" s="52">
        <f>(#REF!*265)</f>
        <v>28.029314999999997</v>
      </c>
      <c r="D22" s="52">
        <f>(#REF!*265)</f>
        <v>28.258274999999998</v>
      </c>
      <c r="E22" s="52">
        <f>(#REF!*265)</f>
        <v>28.414095</v>
      </c>
      <c r="F22" s="52">
        <f>(#REF!*265)</f>
        <v>28.507904999999997</v>
      </c>
      <c r="G22" s="52">
        <f>(#REF!*265)</f>
        <v>28.630334999999999</v>
      </c>
      <c r="H22" s="52">
        <f>(#REF!*265)</f>
        <v>28.827494999999999</v>
      </c>
      <c r="I22" s="52">
        <f>(#REF!*265)</f>
        <v>29.131184999999999</v>
      </c>
      <c r="J22" s="52">
        <f>(#REF!*265)</f>
        <v>29.439644999999995</v>
      </c>
      <c r="K22" s="52">
        <f>(#REF!*265)</f>
        <v>29.745719999999995</v>
      </c>
      <c r="L22" s="52">
        <f>(#REF!*265)</f>
        <v>30.126525000000001</v>
      </c>
      <c r="M22" s="52">
        <f>(#REF!*265)</f>
        <v>30.585239999999999</v>
      </c>
      <c r="N22" s="52">
        <f>(#REF!*265)</f>
        <v>31.141739999999999</v>
      </c>
      <c r="O22" s="52">
        <f>(#REF!*265)</f>
        <v>31.640204999999998</v>
      </c>
      <c r="P22" s="52">
        <f>(#REF!*265)</f>
        <v>32.15934</v>
      </c>
      <c r="Q22" s="52">
        <f>(#REF!*265)</f>
        <v>32.863709999999998</v>
      </c>
      <c r="R22" s="52">
        <f>(#REF!*265)</f>
        <v>33.651554999999995</v>
      </c>
      <c r="S22" s="52">
        <f>(#REF!*265)</f>
        <v>34.787610000000001</v>
      </c>
      <c r="T22" s="52">
        <f>(#REF!*265)</f>
        <v>35.656545000000001</v>
      </c>
      <c r="U22" s="52">
        <f>(#REF!*265)</f>
        <v>36.040529999999997</v>
      </c>
      <c r="V22" s="52">
        <f>(#REF!*265)</f>
        <v>36.210660000000004</v>
      </c>
      <c r="W22" s="52">
        <f>(#REF!*265)</f>
        <v>36.370454999999993</v>
      </c>
      <c r="X22" s="52">
        <f>(#REF!*265)</f>
        <v>36.519914999999997</v>
      </c>
      <c r="Y22" s="52">
        <f>(#REF!*265)</f>
        <v>36.686865000000004</v>
      </c>
      <c r="Z22" s="52">
        <f>(#REF!*265)</f>
        <v>36.930929999999996</v>
      </c>
      <c r="AA22" s="52">
        <f>(#REF!*265)</f>
        <v>37.268009999999997</v>
      </c>
      <c r="AB22" s="52">
        <f>(#REF!*265)</f>
        <v>37.679819999999999</v>
      </c>
      <c r="AC22" s="52">
        <f>(#REF!*265)</f>
        <v>38.246654999999997</v>
      </c>
      <c r="AD22" s="52">
        <f>(#REF!*265)</f>
        <v>38.834955000000001</v>
      </c>
      <c r="AE22" s="52">
        <f>(#REF!*265)</f>
        <v>39.420074999999997</v>
      </c>
      <c r="AF22" s="52">
        <f>(#REF!*265)</f>
        <v>39.987704999999998</v>
      </c>
      <c r="AG22" s="52">
        <f>(#REF!*265)</f>
        <v>40.343864999999994</v>
      </c>
      <c r="AH22" s="52">
        <f>(#REF!*265)</f>
        <v>41.212799999999994</v>
      </c>
      <c r="AI22" s="52">
        <f>(#REF!*265)</f>
        <v>41.988720000000001</v>
      </c>
      <c r="AJ22" s="52">
        <f>(#REF!*265)</f>
        <v>42.773384999999998</v>
      </c>
      <c r="AK22" s="52">
        <f>(#REF!*265)</f>
        <v>43.395870000000002</v>
      </c>
      <c r="AL22" s="15">
        <f>AK22/$AK$47</f>
        <v>8.1783936713230015E-3</v>
      </c>
      <c r="AM22" s="15">
        <f>(AK22-B22)/B22</f>
        <v>0.55701979576701466</v>
      </c>
      <c r="AN22" s="6"/>
      <c r="AO22" s="16">
        <f>(AK22-AJ22)/AJ22</f>
        <v>1.4553091835027895E-2</v>
      </c>
      <c r="AP22" s="17">
        <f>AK22-AJ22</f>
        <v>0.62248500000000462</v>
      </c>
    </row>
    <row r="23" spans="1:48" x14ac:dyDescent="0.25">
      <c r="A23" s="53" t="s">
        <v>30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9"/>
      <c r="AM23" s="9"/>
      <c r="AN23" s="6"/>
      <c r="AO23" s="11"/>
      <c r="AP23" s="12"/>
      <c r="AV23" s="10"/>
    </row>
    <row r="24" spans="1:48" x14ac:dyDescent="0.25">
      <c r="A24" s="53" t="s">
        <v>31</v>
      </c>
      <c r="B24" s="50">
        <f t="shared" ref="B24:AA24" si="10">SUM(B25:B31)</f>
        <v>5075.3537721129678</v>
      </c>
      <c r="C24" s="50">
        <f t="shared" si="10"/>
        <v>5039.4892141632399</v>
      </c>
      <c r="D24" s="50">
        <f t="shared" si="10"/>
        <v>4968.3457209610078</v>
      </c>
      <c r="E24" s="50">
        <f t="shared" si="10"/>
        <v>5108.5046191295805</v>
      </c>
      <c r="F24" s="50">
        <f t="shared" si="10"/>
        <v>5298.9536048660984</v>
      </c>
      <c r="G24" s="50">
        <f t="shared" si="10"/>
        <v>5525.9699439946125</v>
      </c>
      <c r="H24" s="50">
        <f t="shared" si="10"/>
        <v>5532.4105468179769</v>
      </c>
      <c r="I24" s="50">
        <f t="shared" si="10"/>
        <v>5369.0502753148294</v>
      </c>
      <c r="J24" s="50">
        <f t="shared" si="10"/>
        <v>5697.3955686286108</v>
      </c>
      <c r="K24" s="50">
        <f t="shared" si="10"/>
        <v>5684.7555621169331</v>
      </c>
      <c r="L24" s="50">
        <f t="shared" si="10"/>
        <v>5408.0051565131262</v>
      </c>
      <c r="M24" s="50">
        <f t="shared" si="10"/>
        <v>5165.1175529734173</v>
      </c>
      <c r="N24" s="50">
        <f t="shared" si="10"/>
        <v>5110.3159567343737</v>
      </c>
      <c r="O24" s="50">
        <f t="shared" si="10"/>
        <v>5284.5644192853279</v>
      </c>
      <c r="P24" s="50">
        <f t="shared" si="10"/>
        <v>5167.229091080374</v>
      </c>
      <c r="Q24" s="50">
        <f t="shared" si="10"/>
        <v>5038.9153947713085</v>
      </c>
      <c r="R24" s="50">
        <f t="shared" si="10"/>
        <v>4909.259366655303</v>
      </c>
      <c r="S24" s="50">
        <f t="shared" si="10"/>
        <v>4770.4044048933783</v>
      </c>
      <c r="T24" s="50">
        <f t="shared" si="10"/>
        <v>4630.6551706133723</v>
      </c>
      <c r="U24" s="50">
        <f t="shared" si="10"/>
        <v>4497.2208384741862</v>
      </c>
      <c r="V24" s="50">
        <f t="shared" si="10"/>
        <v>4768.9141296164953</v>
      </c>
      <c r="W24" s="50">
        <f t="shared" si="10"/>
        <v>4401.0448887117391</v>
      </c>
      <c r="X24" s="50">
        <f t="shared" si="10"/>
        <v>4522.6130473104868</v>
      </c>
      <c r="Y24" s="50">
        <f t="shared" si="10"/>
        <v>4862.940109106843</v>
      </c>
      <c r="Z24" s="50">
        <f t="shared" si="10"/>
        <v>4738.1688421660892</v>
      </c>
      <c r="AA24" s="50">
        <f t="shared" si="10"/>
        <v>4770.5012595436719</v>
      </c>
      <c r="AB24" s="50">
        <f>SUM(AB25:AB31)</f>
        <v>4853.6729022712898</v>
      </c>
      <c r="AC24" s="50">
        <f>SUM(AC25:AC31)</f>
        <v>5117.1283768213125</v>
      </c>
      <c r="AD24" s="50">
        <f t="shared" ref="AD24:AF24" si="11">SUM(AD25:AD31)</f>
        <v>5330.3650729907222</v>
      </c>
      <c r="AE24" s="50">
        <f t="shared" si="11"/>
        <v>5115.1776512570832</v>
      </c>
      <c r="AF24" s="50">
        <f t="shared" si="11"/>
        <v>5155.7202125194253</v>
      </c>
      <c r="AG24" s="50">
        <f>SUM(AG25:AG31)</f>
        <v>5318.0121658679282</v>
      </c>
      <c r="AH24" s="50">
        <f>SUM(AH25:AH31)</f>
        <v>4888.1662170482814</v>
      </c>
      <c r="AI24" s="50">
        <f>SUM(AI25:AI31)</f>
        <v>4449.3609046108986</v>
      </c>
      <c r="AJ24" s="50">
        <f>SUM(AJ25:AJ31)</f>
        <v>4514.0890854759464</v>
      </c>
      <c r="AK24" s="50">
        <f>SUM(AK25:AK31)</f>
        <v>4738.868338639053</v>
      </c>
      <c r="AL24" s="9">
        <f>AK24/$AK$47</f>
        <v>0.89308800192180904</v>
      </c>
      <c r="AM24" s="9">
        <f>(AK24-B24)/B24</f>
        <v>-6.6297926919452826E-2</v>
      </c>
      <c r="AN24" s="6"/>
      <c r="AO24" s="11">
        <f>(AK24-AJ24)/AJ24</f>
        <v>4.9795041459490139E-2</v>
      </c>
      <c r="AP24" s="12">
        <f>AK24-AJ24</f>
        <v>224.77925316310666</v>
      </c>
      <c r="AS24" s="54"/>
      <c r="AT24" s="54"/>
      <c r="AU24" s="54"/>
    </row>
    <row r="25" spans="1:48" outlineLevel="1" x14ac:dyDescent="0.25">
      <c r="A25" s="51" t="s">
        <v>32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15"/>
      <c r="AM25" s="15"/>
      <c r="AN25" s="6"/>
      <c r="AO25" s="16"/>
      <c r="AP25" s="17"/>
    </row>
    <row r="26" spans="1:48" outlineLevel="1" x14ac:dyDescent="0.25">
      <c r="A26" s="51" t="s">
        <v>33</v>
      </c>
      <c r="B26" s="52">
        <f>#REF!*265</f>
        <v>619.69535673441976</v>
      </c>
      <c r="C26" s="52">
        <f>#REF!*265</f>
        <v>622.50734080849008</v>
      </c>
      <c r="D26" s="52">
        <f>#REF!*265</f>
        <v>633.11081642124941</v>
      </c>
      <c r="E26" s="52">
        <f>#REF!*265</f>
        <v>630.57647554536334</v>
      </c>
      <c r="F26" s="52">
        <f>#REF!*265</f>
        <v>627.37543110121408</v>
      </c>
      <c r="G26" s="52">
        <f>#REF!*265</f>
        <v>632.20066363577462</v>
      </c>
      <c r="H26" s="52">
        <f>#REF!*265</f>
        <v>652.45341302363511</v>
      </c>
      <c r="I26" s="52">
        <f>#REF!*265</f>
        <v>668.80550518167377</v>
      </c>
      <c r="J26" s="52">
        <f>#REF!*265</f>
        <v>672.89547239688284</v>
      </c>
      <c r="K26" s="52">
        <f>#REF!*265</f>
        <v>647.68124636806203</v>
      </c>
      <c r="L26" s="52">
        <f>#REF!*265</f>
        <v>615.1222530797636</v>
      </c>
      <c r="M26" s="52">
        <f>#REF!*265</f>
        <v>613.28083711479644</v>
      </c>
      <c r="N26" s="52">
        <f>#REF!*265</f>
        <v>611.03534897683051</v>
      </c>
      <c r="O26" s="52">
        <f>#REF!*265</f>
        <v>605.60493083202289</v>
      </c>
      <c r="P26" s="52">
        <f>#REF!*265</f>
        <v>603.90123848517874</v>
      </c>
      <c r="Q26" s="52">
        <f>#REF!*265</f>
        <v>601.66896916744975</v>
      </c>
      <c r="R26" s="52">
        <f>#REF!*265</f>
        <v>584.70344387454202</v>
      </c>
      <c r="S26" s="52">
        <f>#REF!*265</f>
        <v>579.04914316016368</v>
      </c>
      <c r="T26" s="52">
        <f>#REF!*265</f>
        <v>569.01435516165009</v>
      </c>
      <c r="U26" s="52">
        <f>#REF!*265</f>
        <v>561.49145983586675</v>
      </c>
      <c r="V26" s="52">
        <f>#REF!*265</f>
        <v>550.81315655186552</v>
      </c>
      <c r="W26" s="52">
        <f>#REF!*265</f>
        <v>547.92606725313624</v>
      </c>
      <c r="X26" s="52">
        <f>#REF!*265</f>
        <v>563.00175640751615</v>
      </c>
      <c r="Y26" s="52">
        <f>#REF!*265</f>
        <v>554.94280535031851</v>
      </c>
      <c r="Z26" s="52">
        <f>#REF!*265</f>
        <v>565.31968560874793</v>
      </c>
      <c r="AA26" s="52">
        <f>#REF!*265</f>
        <v>571.98120653888282</v>
      </c>
      <c r="AB26" s="52">
        <f>#REF!*265</f>
        <v>585.96102724213949</v>
      </c>
      <c r="AC26" s="52">
        <f>#REF!*265</f>
        <v>600.853886942337</v>
      </c>
      <c r="AD26" s="52">
        <f>#REF!*265</f>
        <v>586.72256031442237</v>
      </c>
      <c r="AE26" s="52">
        <f>#REF!*265</f>
        <v>602.56352684885269</v>
      </c>
      <c r="AF26" s="52">
        <f>#REF!*265</f>
        <v>585.20593949853298</v>
      </c>
      <c r="AG26" s="52">
        <f>#REF!*265</f>
        <v>578.88543861455253</v>
      </c>
      <c r="AH26" s="52">
        <f>#REF!*265</f>
        <v>576.81303789610217</v>
      </c>
      <c r="AI26" s="52">
        <f>#REF!*265</f>
        <v>564.05070223634755</v>
      </c>
      <c r="AJ26" s="52">
        <f>#REF!*265</f>
        <v>548.11380853851244</v>
      </c>
      <c r="AK26" s="52">
        <f>#REF!*265</f>
        <v>539.33245229533838</v>
      </c>
      <c r="AL26" s="15">
        <f>AK26/$AK$47</f>
        <v>0.10164269352340002</v>
      </c>
      <c r="AM26" s="15">
        <f>(AK26-B26)/B26</f>
        <v>-0.12968130802619871</v>
      </c>
      <c r="AN26" s="6"/>
      <c r="AO26" s="16">
        <f>(AK26-AJ26)/AJ26</f>
        <v>-1.6021045458768167E-2</v>
      </c>
      <c r="AP26" s="17">
        <f>AK26-AJ26</f>
        <v>-8.7813562431740593</v>
      </c>
    </row>
    <row r="27" spans="1:48" outlineLevel="1" x14ac:dyDescent="0.25">
      <c r="A27" s="51" t="s">
        <v>34</v>
      </c>
      <c r="B27" s="52">
        <f>#REF!</f>
        <v>4393.4413467377981</v>
      </c>
      <c r="C27" s="52">
        <f>#REF!</f>
        <v>4352.3453208914807</v>
      </c>
      <c r="D27" s="52">
        <f>#REF!</f>
        <v>4269.6658964782846</v>
      </c>
      <c r="E27" s="52">
        <f>#REF!</f>
        <v>4411.9768517666353</v>
      </c>
      <c r="F27" s="52">
        <f>#REF!</f>
        <v>4596.7097654617337</v>
      </c>
      <c r="G27" s="52">
        <f>#REF!</f>
        <v>4807.654486726864</v>
      </c>
      <c r="H27" s="52">
        <f>#REF!</f>
        <v>4810.5902944134814</v>
      </c>
      <c r="I27" s="52">
        <f>#REF!</f>
        <v>4628.6236649351349</v>
      </c>
      <c r="J27" s="52">
        <f>#REF!</f>
        <v>4953.3814560378632</v>
      </c>
      <c r="K27" s="52">
        <f>#REF!</f>
        <v>4962.2173758011249</v>
      </c>
      <c r="L27" s="52">
        <f>#REF!</f>
        <v>4715.383103685177</v>
      </c>
      <c r="M27" s="52">
        <f>#REF!</f>
        <v>4473.4348303080533</v>
      </c>
      <c r="N27" s="52">
        <f>#REF!</f>
        <v>4420.6992020154785</v>
      </c>
      <c r="O27" s="52">
        <f>#REF!</f>
        <v>4599.7719469216572</v>
      </c>
      <c r="P27" s="52">
        <f>#REF!</f>
        <v>4487.2578719429275</v>
      </c>
      <c r="Q27" s="52">
        <f>#REF!</f>
        <v>4355.8220503988614</v>
      </c>
      <c r="R27" s="52">
        <f>#REF!</f>
        <v>4246.5663355704382</v>
      </c>
      <c r="S27" s="52">
        <f>#REF!</f>
        <v>4117.3205028833117</v>
      </c>
      <c r="T27" s="52">
        <f>#REF!</f>
        <v>3981.7288153595919</v>
      </c>
      <c r="U27" s="52">
        <f>#REF!</f>
        <v>3867.8827754167269</v>
      </c>
      <c r="V27" s="52">
        <f>#REF!</f>
        <v>4154.0390884424642</v>
      </c>
      <c r="W27" s="52">
        <f>#REF!</f>
        <v>3791.8116089198634</v>
      </c>
      <c r="X27" s="52">
        <f>#REF!</f>
        <v>3901.122711128432</v>
      </c>
      <c r="Y27" s="52">
        <f>#REF!</f>
        <v>4257.1539868743976</v>
      </c>
      <c r="Z27" s="52">
        <f>#REF!</f>
        <v>4127.2612236966388</v>
      </c>
      <c r="AA27" s="52">
        <f>#REF!</f>
        <v>4154.6465057291252</v>
      </c>
      <c r="AB27" s="52">
        <f>#REF!</f>
        <v>4221.7047733379095</v>
      </c>
      <c r="AC27" s="52">
        <f>#REF!</f>
        <v>4468.533093973665</v>
      </c>
      <c r="AD27" s="52">
        <f>#REF!</f>
        <v>4692.8105740935171</v>
      </c>
      <c r="AE27" s="52">
        <f>#REF!</f>
        <v>4460.1454473438389</v>
      </c>
      <c r="AF27" s="52">
        <f>#REF!</f>
        <v>4514.6986608861025</v>
      </c>
      <c r="AG27" s="52">
        <f>#REF!</f>
        <v>4683.9984214870301</v>
      </c>
      <c r="AH27" s="52">
        <f>#REF!</f>
        <v>4238.3438725430251</v>
      </c>
      <c r="AI27" s="52">
        <f>#REF!</f>
        <v>3823.2520941569628</v>
      </c>
      <c r="AJ27" s="52">
        <f>#REF!</f>
        <v>3902.5306955184215</v>
      </c>
      <c r="AK27" s="52">
        <f>#REF!</f>
        <v>4130.2043494835052</v>
      </c>
      <c r="AL27" s="15">
        <f>AK27/$AK$47</f>
        <v>0.7783790741627401</v>
      </c>
      <c r="AM27" s="15">
        <f>(AK27-B27)/B27</f>
        <v>-5.9915901107852651E-2</v>
      </c>
      <c r="AN27" s="6"/>
      <c r="AO27" s="16">
        <f>(AK27-AJ27)/AJ27</f>
        <v>5.8340003379483744E-2</v>
      </c>
      <c r="AP27" s="17">
        <f>AK27-AJ27</f>
        <v>227.67365396508376</v>
      </c>
    </row>
    <row r="28" spans="1:48" outlineLevel="1" x14ac:dyDescent="0.25">
      <c r="A28" s="51" t="s">
        <v>35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15"/>
      <c r="AM28" s="15"/>
      <c r="AN28" s="6"/>
      <c r="AO28" s="16"/>
      <c r="AP28" s="17"/>
    </row>
    <row r="29" spans="1:48" outlineLevel="1" x14ac:dyDescent="0.25">
      <c r="A29" s="51" t="s">
        <v>36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15"/>
      <c r="AM29" s="15"/>
      <c r="AN29" s="6"/>
      <c r="AO29" s="16"/>
      <c r="AP29" s="17"/>
    </row>
    <row r="30" spans="1:48" outlineLevel="1" x14ac:dyDescent="0.25">
      <c r="A30" s="51" t="s">
        <v>37</v>
      </c>
      <c r="B30" s="52">
        <f>#REF!*265</f>
        <v>61.58850217528321</v>
      </c>
      <c r="C30" s="52">
        <f>#REF!*265</f>
        <v>63.957290720486391</v>
      </c>
      <c r="D30" s="52">
        <f>#REF!*265</f>
        <v>64.845586424937622</v>
      </c>
      <c r="E30" s="52">
        <f>#REF!*265</f>
        <v>65.141684993088006</v>
      </c>
      <c r="F30" s="52">
        <f>#REF!*265</f>
        <v>74.024642037600003</v>
      </c>
      <c r="G30" s="52">
        <f>#REF!*265</f>
        <v>84.980289059164804</v>
      </c>
      <c r="H30" s="52">
        <f>#REF!*265</f>
        <v>68.398769242742404</v>
      </c>
      <c r="I30" s="52">
        <f>#REF!*265</f>
        <v>70.767557787945606</v>
      </c>
      <c r="J30" s="52">
        <f>#REF!*265</f>
        <v>70.175360651644809</v>
      </c>
      <c r="K30" s="52">
        <f>#REF!*265</f>
        <v>74.024642037600003</v>
      </c>
      <c r="L30" s="52">
        <f>#REF!*265</f>
        <v>76.689529150953632</v>
      </c>
      <c r="M30" s="52">
        <f>#REF!*265</f>
        <v>77.577824855404785</v>
      </c>
      <c r="N30" s="52">
        <f>#REF!*265</f>
        <v>77.873923423555212</v>
      </c>
      <c r="O30" s="52">
        <f>#REF!*265</f>
        <v>78.170021991705596</v>
      </c>
      <c r="P30" s="52">
        <f>#REF!*265</f>
        <v>74.912937742051213</v>
      </c>
      <c r="Q30" s="52">
        <f>#REF!*265</f>
        <v>80.387256838358979</v>
      </c>
      <c r="R30" s="52">
        <f>#REF!*265</f>
        <v>77.063184744658571</v>
      </c>
      <c r="S30" s="52">
        <f>#REF!*265</f>
        <v>73.170824114067273</v>
      </c>
      <c r="T30" s="52">
        <f>#REF!*265</f>
        <v>79.170340169497692</v>
      </c>
      <c r="U30" s="52">
        <f>#REF!*265</f>
        <v>67.153123453934725</v>
      </c>
      <c r="V30" s="52">
        <f>#REF!*265</f>
        <v>63.516791888366548</v>
      </c>
      <c r="W30" s="52">
        <f>#REF!*265</f>
        <v>60.85570850983801</v>
      </c>
      <c r="X30" s="52">
        <f>#REF!*265</f>
        <v>57.988759169649313</v>
      </c>
      <c r="Y30" s="52">
        <f>#REF!*265</f>
        <v>50.28715244983956</v>
      </c>
      <c r="Z30" s="52">
        <f>#REF!*265</f>
        <v>45.058018298975924</v>
      </c>
      <c r="AA30" s="52">
        <f>#REF!*265</f>
        <v>43.407658356151771</v>
      </c>
      <c r="AB30" s="52">
        <f>#REF!*265</f>
        <v>45.579297263864298</v>
      </c>
      <c r="AC30" s="52">
        <f>#REF!*265</f>
        <v>47.234808239736005</v>
      </c>
      <c r="AD30" s="52">
        <f>#REF!*265</f>
        <v>50.227262972157924</v>
      </c>
      <c r="AE30" s="52">
        <f>#REF!*265</f>
        <v>51.946591805109605</v>
      </c>
      <c r="AF30" s="52">
        <f>#REF!*265</f>
        <v>55.390043712466927</v>
      </c>
      <c r="AG30" s="52">
        <f>#REF!*265</f>
        <v>54.711934605174541</v>
      </c>
      <c r="AH30" s="52">
        <f>#REF!*265</f>
        <v>72.625709494808788</v>
      </c>
      <c r="AI30" s="52">
        <f>#REF!*265</f>
        <v>61.605705492662693</v>
      </c>
      <c r="AJ30" s="52">
        <f>#REF!*265</f>
        <v>62.978293355975232</v>
      </c>
      <c r="AK30" s="52">
        <f>#REF!*265</f>
        <v>68.865248797172796</v>
      </c>
      <c r="AL30" s="15">
        <f>AK30/$AK$47</f>
        <v>1.2978357501229538E-2</v>
      </c>
      <c r="AM30" s="15">
        <f>(AK30-B30)/B30</f>
        <v>0.11815105685115851</v>
      </c>
      <c r="AN30" s="6"/>
      <c r="AO30" s="16">
        <f>(AK30-AJ30)/AJ30</f>
        <v>9.3475944289605359E-2</v>
      </c>
      <c r="AP30" s="17">
        <f>AK30-AJ30</f>
        <v>5.8869554411975642</v>
      </c>
    </row>
    <row r="31" spans="1:48" outlineLevel="1" x14ac:dyDescent="0.25">
      <c r="A31" s="51" t="s">
        <v>38</v>
      </c>
      <c r="B31" s="52">
        <f>#REF!*265</f>
        <v>0.62856646546674466</v>
      </c>
      <c r="C31" s="52">
        <f>#REF!*265</f>
        <v>0.67926174278251006</v>
      </c>
      <c r="D31" s="52">
        <f>#REF!*265</f>
        <v>0.72342163653706348</v>
      </c>
      <c r="E31" s="52">
        <f>#REF!*265</f>
        <v>0.80960682449373833</v>
      </c>
      <c r="F31" s="52">
        <f>#REF!*265</f>
        <v>0.84376626555059786</v>
      </c>
      <c r="G31" s="52">
        <f>#REF!*265</f>
        <v>1.1345045728097507</v>
      </c>
      <c r="H31" s="52">
        <f>#REF!*265</f>
        <v>0.96807013811754661</v>
      </c>
      <c r="I31" s="52">
        <f>#REF!*265</f>
        <v>0.8535474100750966</v>
      </c>
      <c r="J31" s="52">
        <f>#REF!*265</f>
        <v>0.94327954221957921</v>
      </c>
      <c r="K31" s="52">
        <f>#REF!*265</f>
        <v>0.83229791014698518</v>
      </c>
      <c r="L31" s="52">
        <f>#REF!*265</f>
        <v>0.81027059723127537</v>
      </c>
      <c r="M31" s="52">
        <f>#REF!*265</f>
        <v>0.82406069516177938</v>
      </c>
      <c r="N31" s="52">
        <f>#REF!*265</f>
        <v>0.70748231850924803</v>
      </c>
      <c r="O31" s="52">
        <f>#REF!*265</f>
        <v>1.0175195399420975</v>
      </c>
      <c r="P31" s="52">
        <f>#REF!*265</f>
        <v>1.1570429102162665</v>
      </c>
      <c r="Q31" s="52">
        <f>#REF!*265</f>
        <v>1.0371183666388528</v>
      </c>
      <c r="R31" s="52">
        <f>#REF!*265</f>
        <v>0.92640246566450191</v>
      </c>
      <c r="S31" s="52">
        <f>#REF!*265</f>
        <v>0.86393473583576075</v>
      </c>
      <c r="T31" s="52">
        <f>#REF!*265</f>
        <v>0.74165992263233038</v>
      </c>
      <c r="U31" s="52">
        <f>#REF!*265</f>
        <v>0.69347976765838559</v>
      </c>
      <c r="V31" s="52">
        <f>#REF!*265</f>
        <v>0.54509273379966516</v>
      </c>
      <c r="W31" s="52">
        <f>#REF!*265</f>
        <v>0.45150402890165164</v>
      </c>
      <c r="X31" s="52">
        <f>#REF!*265</f>
        <v>0.49982060488852248</v>
      </c>
      <c r="Y31" s="52">
        <f>#REF!*265</f>
        <v>0.55616443228692047</v>
      </c>
      <c r="Z31" s="52">
        <f>#REF!*265</f>
        <v>0.52991456172638918</v>
      </c>
      <c r="AA31" s="52">
        <f>#REF!*265</f>
        <v>0.46588891951249106</v>
      </c>
      <c r="AB31" s="52">
        <f>#REF!*265</f>
        <v>0.42780442737639485</v>
      </c>
      <c r="AC31" s="52">
        <f>#REF!*265</f>
        <v>0.50658766557437584</v>
      </c>
      <c r="AD31" s="52">
        <f>#REF!*265</f>
        <v>0.60467561062464836</v>
      </c>
      <c r="AE31" s="52">
        <f>#REF!*265</f>
        <v>0.52208525928185456</v>
      </c>
      <c r="AF31" s="52">
        <f>#REF!*265</f>
        <v>0.42556842232370967</v>
      </c>
      <c r="AG31" s="52">
        <f>#REF!*265</f>
        <v>0.41637116117090189</v>
      </c>
      <c r="AH31" s="52">
        <f>#REF!*265</f>
        <v>0.38359711434531413</v>
      </c>
      <c r="AI31" s="52">
        <f>#REF!*265</f>
        <v>0.45240272492603884</v>
      </c>
      <c r="AJ31" s="52">
        <f>#REF!*265</f>
        <v>0.46628806303707915</v>
      </c>
      <c r="AK31" s="52">
        <f>#REF!*265</f>
        <v>0.46628806303707915</v>
      </c>
      <c r="AL31" s="15">
        <f>AK31/$AK$47</f>
        <v>8.7876734439381175E-5</v>
      </c>
      <c r="AM31" s="15">
        <f>(AK31-B31)/B31</f>
        <v>-0.2581722241722918</v>
      </c>
      <c r="AN31" s="6"/>
      <c r="AO31" s="16">
        <f>(AK31-AJ31)/AJ31</f>
        <v>0</v>
      </c>
      <c r="AP31" s="17">
        <f>AK31-AJ31</f>
        <v>0</v>
      </c>
    </row>
    <row r="32" spans="1:48" x14ac:dyDescent="0.25">
      <c r="A32" s="53" t="s">
        <v>39</v>
      </c>
      <c r="B32" s="50">
        <f t="shared" ref="B32:AA32" si="12">SUM(B33:B36)</f>
        <v>67.798219542501926</v>
      </c>
      <c r="C32" s="50">
        <f t="shared" si="12"/>
        <v>67.593379996960834</v>
      </c>
      <c r="D32" s="50">
        <f t="shared" si="12"/>
        <v>68.744773992710961</v>
      </c>
      <c r="E32" s="50">
        <f t="shared" si="12"/>
        <v>68.533637276454499</v>
      </c>
      <c r="F32" s="50">
        <f t="shared" si="12"/>
        <v>66.968568190431156</v>
      </c>
      <c r="G32" s="50">
        <f t="shared" si="12"/>
        <v>66.056218248249593</v>
      </c>
      <c r="H32" s="50">
        <f t="shared" si="12"/>
        <v>66.502794530335024</v>
      </c>
      <c r="I32" s="50">
        <f t="shared" si="12"/>
        <v>67.663801775746379</v>
      </c>
      <c r="J32" s="50">
        <f t="shared" si="12"/>
        <v>70.068946229378355</v>
      </c>
      <c r="K32" s="50">
        <f t="shared" si="12"/>
        <v>72.795580492591327</v>
      </c>
      <c r="L32" s="50">
        <f t="shared" si="12"/>
        <v>74.414641337540729</v>
      </c>
      <c r="M32" s="50">
        <f t="shared" si="12"/>
        <v>77.925850290297277</v>
      </c>
      <c r="N32" s="50">
        <f t="shared" si="12"/>
        <v>80.595206487177251</v>
      </c>
      <c r="O32" s="50">
        <f t="shared" si="12"/>
        <v>82.404242416794659</v>
      </c>
      <c r="P32" s="50">
        <f t="shared" si="12"/>
        <v>92.235364201452057</v>
      </c>
      <c r="Q32" s="50">
        <f t="shared" si="12"/>
        <v>97.734522290194505</v>
      </c>
      <c r="R32" s="50">
        <f t="shared" si="12"/>
        <v>95.057624932041676</v>
      </c>
      <c r="S32" s="50">
        <f t="shared" si="12"/>
        <v>96.595258205507889</v>
      </c>
      <c r="T32" s="50">
        <f t="shared" si="12"/>
        <v>102.13518254178297</v>
      </c>
      <c r="U32" s="50">
        <f t="shared" si="12"/>
        <v>102.80267555534151</v>
      </c>
      <c r="V32" s="50">
        <f t="shared" si="12"/>
        <v>108.08528353016953</v>
      </c>
      <c r="W32" s="50">
        <f t="shared" si="12"/>
        <v>105.99517610264839</v>
      </c>
      <c r="X32" s="50">
        <f t="shared" si="12"/>
        <v>104.28134486477404</v>
      </c>
      <c r="Y32" s="50">
        <f t="shared" si="12"/>
        <v>108.81084470059663</v>
      </c>
      <c r="Z32" s="50">
        <f t="shared" si="12"/>
        <v>100.99982641595066</v>
      </c>
      <c r="AA32" s="50">
        <f t="shared" si="12"/>
        <v>106.1533535233806</v>
      </c>
      <c r="AB32" s="50">
        <f>SUM(AB33:AB36)</f>
        <v>108.5457845172442</v>
      </c>
      <c r="AC32" s="50">
        <f>SUM(AC33:AC36)</f>
        <v>117.24932175417942</v>
      </c>
      <c r="AD32" s="50">
        <f t="shared" ref="AD32:AF32" si="13">SUM(AD33:AD36)</f>
        <v>118.66882762690035</v>
      </c>
      <c r="AE32" s="50">
        <f t="shared" si="13"/>
        <v>121.23860427848054</v>
      </c>
      <c r="AF32" s="50">
        <f t="shared" si="13"/>
        <v>121.97599068291386</v>
      </c>
      <c r="AG32" s="50">
        <f>SUM(AG33:AG36)</f>
        <v>120.95524864459649</v>
      </c>
      <c r="AH32" s="50">
        <f>SUM(AH33:AH36)</f>
        <v>122.19017228117707</v>
      </c>
      <c r="AI32" s="50">
        <f>SUM(AI33:AI36)</f>
        <v>124.30061755302215</v>
      </c>
      <c r="AJ32" s="50">
        <f>SUM(AJ33:AJ36)</f>
        <v>128.54989524286148</v>
      </c>
      <c r="AK32" s="50">
        <f>SUM(AK33:AK36)</f>
        <v>129.84841245651529</v>
      </c>
      <c r="AL32" s="9">
        <f>AK32/$AK$47</f>
        <v>2.4471255782306089E-2</v>
      </c>
      <c r="AM32" s="9">
        <f>(AK32-B32)/B32</f>
        <v>0.91521861979155383</v>
      </c>
      <c r="AN32" s="6"/>
      <c r="AO32" s="11">
        <f>(AK32-AJ32)/AJ32</f>
        <v>1.0101270103725874E-2</v>
      </c>
      <c r="AP32" s="12">
        <f>AK32-AJ32</f>
        <v>1.2985172136538097</v>
      </c>
    </row>
    <row r="33" spans="1:42" outlineLevel="1" x14ac:dyDescent="0.25">
      <c r="A33" s="51" t="s">
        <v>40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15"/>
      <c r="AM33" s="15"/>
      <c r="AN33" s="6"/>
      <c r="AO33" s="16"/>
      <c r="AP33" s="17"/>
    </row>
    <row r="34" spans="1:42" outlineLevel="1" x14ac:dyDescent="0.25">
      <c r="A34" s="51" t="s">
        <v>41</v>
      </c>
      <c r="B34" s="52">
        <f>(#REF!*265)</f>
        <v>0</v>
      </c>
      <c r="C34" s="52">
        <f>(#REF!*265)</f>
        <v>0</v>
      </c>
      <c r="D34" s="52">
        <f>(#REF!*265)</f>
        <v>0</v>
      </c>
      <c r="E34" s="52">
        <f>(#REF!*265)</f>
        <v>0</v>
      </c>
      <c r="F34" s="52">
        <f>(#REF!*265)</f>
        <v>0</v>
      </c>
      <c r="G34" s="52">
        <f>(#REF!*265)</f>
        <v>0</v>
      </c>
      <c r="H34" s="52">
        <f>(#REF!*265)</f>
        <v>0</v>
      </c>
      <c r="I34" s="52">
        <f>(#REF!*265)</f>
        <v>0</v>
      </c>
      <c r="J34" s="52">
        <f>(#REF!*265)</f>
        <v>0</v>
      </c>
      <c r="K34" s="52">
        <f>(#REF!*265)</f>
        <v>0</v>
      </c>
      <c r="L34" s="52">
        <f>(#REF!*265)</f>
        <v>0</v>
      </c>
      <c r="M34" s="52">
        <f>(#REF!*265)</f>
        <v>1.4140188</v>
      </c>
      <c r="N34" s="52">
        <f>(#REF!*265)</f>
        <v>2.1632267999999999</v>
      </c>
      <c r="O34" s="52">
        <f>(#REF!*265)</f>
        <v>3.0087888</v>
      </c>
      <c r="P34" s="52">
        <f>(#REF!*265)</f>
        <v>12.662187600000001</v>
      </c>
      <c r="Q34" s="52">
        <f>(#REF!*265)</f>
        <v>17.257923600000002</v>
      </c>
      <c r="R34" s="52">
        <f>(#REF!*265)</f>
        <v>13.8325548</v>
      </c>
      <c r="S34" s="52">
        <f>(#REF!*265)</f>
        <v>13.672982399999999</v>
      </c>
      <c r="T34" s="52">
        <f>(#REF!*265)</f>
        <v>18.037405200000002</v>
      </c>
      <c r="U34" s="52">
        <f>(#REF!*265)</f>
        <v>17.792163600000002</v>
      </c>
      <c r="V34" s="52">
        <f>(#REF!*265)</f>
        <v>18.0966804</v>
      </c>
      <c r="W34" s="52">
        <f>(#REF!*265)</f>
        <v>18.012664800000003</v>
      </c>
      <c r="X34" s="52">
        <f>(#REF!*265)</f>
        <v>16.354676399999999</v>
      </c>
      <c r="Y34" s="52">
        <f>(#REF!*265)</f>
        <v>16.4720184</v>
      </c>
      <c r="Z34" s="52">
        <f>(#REF!*265)</f>
        <v>15.226158</v>
      </c>
      <c r="AA34" s="52">
        <f>(#REF!*265)</f>
        <v>14.702157600000001</v>
      </c>
      <c r="AB34" s="52">
        <f>(#REF!*265)</f>
        <v>14.526876000000001</v>
      </c>
      <c r="AC34" s="52">
        <f>(#REF!*265)</f>
        <v>16.201625216714401</v>
      </c>
      <c r="AD34" s="52">
        <f>(#REF!*265)</f>
        <v>15.538424320934903</v>
      </c>
      <c r="AE34" s="52">
        <f>(#REF!*265)</f>
        <v>16.478704005747908</v>
      </c>
      <c r="AF34" s="52">
        <f>(#REF!*265)</f>
        <v>15.727573403999999</v>
      </c>
      <c r="AG34" s="52">
        <f>(#REF!*265)</f>
        <v>13.733106722282827</v>
      </c>
      <c r="AH34" s="52">
        <f>(#REF!*265)</f>
        <v>12.650819277526956</v>
      </c>
      <c r="AI34" s="52">
        <f>(#REF!*265)</f>
        <v>12.717650151719997</v>
      </c>
      <c r="AJ34" s="52">
        <f>(#REF!*265)</f>
        <v>15.069796777164964</v>
      </c>
      <c r="AK34" s="52">
        <f>(#REF!*265)</f>
        <v>14.718790989318785</v>
      </c>
      <c r="AL34" s="15">
        <f>AK34/$AK$47</f>
        <v>2.7739060670190678E-3</v>
      </c>
      <c r="AM34" s="15"/>
      <c r="AN34" s="6"/>
      <c r="AO34" s="16">
        <f t="shared" ref="AO34:AO43" si="14">(AK34-AJ34)/AJ34</f>
        <v>-2.3292005395723191E-2</v>
      </c>
      <c r="AP34" s="17">
        <f t="shared" ref="AP34:AP43" si="15">AK34-AJ34</f>
        <v>-0.35100578784617831</v>
      </c>
    </row>
    <row r="35" spans="1:42" outlineLevel="1" x14ac:dyDescent="0.25">
      <c r="A35" s="51" t="s">
        <v>42</v>
      </c>
      <c r="B35" s="52">
        <f>(#REF!+#REF!)*265</f>
        <v>0.97643700007333989</v>
      </c>
      <c r="C35" s="52">
        <f>(#REF!+#REF!)*265</f>
        <v>0.98177963592510054</v>
      </c>
      <c r="D35" s="52">
        <f>(#REF!+#REF!)*265</f>
        <v>0.99475230092524047</v>
      </c>
      <c r="E35" s="52">
        <f>(#REF!+#REF!)*265</f>
        <v>1.0076081615616135</v>
      </c>
      <c r="F35" s="52">
        <f>(#REF!+#REF!)*265</f>
        <v>1.0182450115025707</v>
      </c>
      <c r="G35" s="52">
        <f>(#REF!+#REF!)*265</f>
        <v>1.0269113483924286</v>
      </c>
      <c r="H35" s="52">
        <f>(#REF!+#REF!)*265</f>
        <v>1.0256696727635803</v>
      </c>
      <c r="I35" s="52">
        <f>(#REF!+#REF!)*265</f>
        <v>0.88423624135352163</v>
      </c>
      <c r="J35" s="52">
        <f>(#REF!+#REF!)*265</f>
        <v>0.72484375337834939</v>
      </c>
      <c r="K35" s="52">
        <f>(#REF!+#REF!)*265</f>
        <v>0.85378609401990124</v>
      </c>
      <c r="L35" s="52">
        <f>(#REF!+#REF!)*265</f>
        <v>0.91825786682641908</v>
      </c>
      <c r="M35" s="52">
        <f>(#REF!+#REF!)*265</f>
        <v>1.060163530497269</v>
      </c>
      <c r="N35" s="52">
        <f>(#REF!+#REF!)*265</f>
        <v>1.6074647848772401</v>
      </c>
      <c r="O35" s="52">
        <f>(#REF!+#REF!)*265</f>
        <v>2.2063108340803508</v>
      </c>
      <c r="P35" s="52">
        <f>(#REF!+#REF!)*265</f>
        <v>1.7938985650234573</v>
      </c>
      <c r="Q35" s="52">
        <f>(#REF!+#REF!)*265</f>
        <v>1.4775684660302153</v>
      </c>
      <c r="R35" s="52">
        <f>(#REF!+#REF!)*265</f>
        <v>1.4645470725166585</v>
      </c>
      <c r="S35" s="52">
        <f>(#REF!+#REF!)*265</f>
        <v>0.76173506670073499</v>
      </c>
      <c r="T35" s="52">
        <f>(#REF!+#REF!)*265</f>
        <v>0.63489791575794352</v>
      </c>
      <c r="U35" s="52">
        <f>(#REF!+#REF!)*265</f>
        <v>0.64882156049147333</v>
      </c>
      <c r="V35" s="52">
        <f>(#REF!+#REF!)*265</f>
        <v>0.58325932499809019</v>
      </c>
      <c r="W35" s="52">
        <f>(#REF!+#REF!)*265</f>
        <v>0.47734416141975594</v>
      </c>
      <c r="X35" s="52">
        <f>(#REF!+#REF!)*265</f>
        <v>0.45066366232404359</v>
      </c>
      <c r="Y35" s="52">
        <f>(#REF!+#REF!)*265</f>
        <v>0.41541770187162763</v>
      </c>
      <c r="Z35" s="52">
        <f>(#REF!+#REF!)*265</f>
        <v>0.37933161297921164</v>
      </c>
      <c r="AA35" s="52">
        <f>(#REF!+#REF!)*265</f>
        <v>0.38626725713061355</v>
      </c>
      <c r="AB35" s="52">
        <f>(#REF!+#REF!)*265</f>
        <v>0.23065730193952486</v>
      </c>
      <c r="AC35" s="52">
        <f>(#REF!+#REF!)*265</f>
        <v>0.25252966220500439</v>
      </c>
      <c r="AD35" s="52">
        <f>(#REF!+#REF!)*265</f>
        <v>0.22165605146543649</v>
      </c>
      <c r="AE35" s="52">
        <f>(#REF!+#REF!)*265</f>
        <v>0.30064353023262724</v>
      </c>
      <c r="AF35" s="52">
        <f>(#REF!+#REF!)*265</f>
        <v>0.28499779941385706</v>
      </c>
      <c r="AG35" s="52">
        <f>(#REF!+#REF!)*265</f>
        <v>0.31493405881363179</v>
      </c>
      <c r="AH35" s="52">
        <f>(#REF!+#REF!)*265</f>
        <v>0.32955428365011136</v>
      </c>
      <c r="AI35" s="52">
        <f>(#REF!+#REF!)*265</f>
        <v>0.31705827330213276</v>
      </c>
      <c r="AJ35" s="52">
        <f>(#REF!+#REF!)*265</f>
        <v>0.13490555419647204</v>
      </c>
      <c r="AK35" s="52">
        <f>(#REF!+#REF!)*265</f>
        <v>0.13490555419647204</v>
      </c>
      <c r="AL35" s="15">
        <f>AK35/$AK$47</f>
        <v>2.5424325648195302E-5</v>
      </c>
      <c r="AM35" s="15">
        <f t="shared" ref="AM35:AM43" si="16">(AK35-B35)/B35</f>
        <v>-0.86183895716125125</v>
      </c>
      <c r="AN35" s="6"/>
      <c r="AO35" s="16">
        <f t="shared" si="14"/>
        <v>0</v>
      </c>
      <c r="AP35" s="17">
        <f t="shared" si="15"/>
        <v>0</v>
      </c>
    </row>
    <row r="36" spans="1:42" outlineLevel="1" x14ac:dyDescent="0.25">
      <c r="A36" s="51" t="s">
        <v>43</v>
      </c>
      <c r="B36" s="52">
        <f>#REF!*265</f>
        <v>66.821782542428579</v>
      </c>
      <c r="C36" s="52">
        <f>#REF!*265</f>
        <v>66.611600361035741</v>
      </c>
      <c r="D36" s="52">
        <f>#REF!*265</f>
        <v>67.750021691785719</v>
      </c>
      <c r="E36" s="52">
        <f>#REF!*265</f>
        <v>67.526029114892879</v>
      </c>
      <c r="F36" s="52">
        <f>#REF!*265</f>
        <v>65.950323178928585</v>
      </c>
      <c r="G36" s="52">
        <f>#REF!*265</f>
        <v>65.029306899857161</v>
      </c>
      <c r="H36" s="52">
        <f>#REF!*265</f>
        <v>65.47712485757144</v>
      </c>
      <c r="I36" s="52">
        <f>#REF!*265</f>
        <v>66.779565534392859</v>
      </c>
      <c r="J36" s="52">
        <f>#REF!*265</f>
        <v>69.344102476000003</v>
      </c>
      <c r="K36" s="52">
        <f>#REF!*265</f>
        <v>71.941794398571432</v>
      </c>
      <c r="L36" s="52">
        <f>#REF!*265</f>
        <v>73.496383470714306</v>
      </c>
      <c r="M36" s="52">
        <f>#REF!*265</f>
        <v>75.451667959800005</v>
      </c>
      <c r="N36" s="52">
        <f>#REF!*265</f>
        <v>76.82451490230001</v>
      </c>
      <c r="O36" s="52">
        <f>#REF!*265</f>
        <v>77.189142782714313</v>
      </c>
      <c r="P36" s="52">
        <f>#REF!*265</f>
        <v>77.779278036428593</v>
      </c>
      <c r="Q36" s="52">
        <f>#REF!*265</f>
        <v>78.999030224164287</v>
      </c>
      <c r="R36" s="52">
        <f>#REF!*265</f>
        <v>79.760523059525013</v>
      </c>
      <c r="S36" s="52">
        <f>#REF!*265</f>
        <v>82.160540738807157</v>
      </c>
      <c r="T36" s="52">
        <f>#REF!*265</f>
        <v>83.462879426025026</v>
      </c>
      <c r="U36" s="52">
        <f>#REF!*265</f>
        <v>84.361690394850029</v>
      </c>
      <c r="V36" s="52">
        <f>#REF!*265</f>
        <v>89.405343805171441</v>
      </c>
      <c r="W36" s="52">
        <f>#REF!*265</f>
        <v>87.505167141228625</v>
      </c>
      <c r="X36" s="52">
        <f>#REF!*265</f>
        <v>87.476004802450007</v>
      </c>
      <c r="Y36" s="52">
        <f>#REF!*265</f>
        <v>91.923408598725004</v>
      </c>
      <c r="Z36" s="52">
        <f>#REF!*265</f>
        <v>85.394336802971452</v>
      </c>
      <c r="AA36" s="52">
        <f>#REF!*265</f>
        <v>91.064928666249983</v>
      </c>
      <c r="AB36" s="52">
        <f>#REF!*265</f>
        <v>93.788251215304669</v>
      </c>
      <c r="AC36" s="52">
        <f>#REF!*265</f>
        <v>100.79516687526001</v>
      </c>
      <c r="AD36" s="52">
        <f>#REF!*265</f>
        <v>102.90874725450001</v>
      </c>
      <c r="AE36" s="52">
        <f>#REF!*265</f>
        <v>104.4592567425</v>
      </c>
      <c r="AF36" s="52">
        <f>#REF!*265</f>
        <v>105.9634194795</v>
      </c>
      <c r="AG36" s="52">
        <f>#REF!*265</f>
        <v>106.90720786350003</v>
      </c>
      <c r="AH36" s="52">
        <f>#REF!*265</f>
        <v>109.20979871999999</v>
      </c>
      <c r="AI36" s="52">
        <f>#REF!*265</f>
        <v>111.26590912800002</v>
      </c>
      <c r="AJ36" s="52">
        <f>#REF!*265</f>
        <v>113.34519291150004</v>
      </c>
      <c r="AK36" s="52">
        <f>#REF!*265</f>
        <v>114.99471591300004</v>
      </c>
      <c r="AL36" s="15">
        <f>AK36/$AK$47</f>
        <v>2.1671925389638826E-2</v>
      </c>
      <c r="AM36" s="15">
        <f t="shared" si="16"/>
        <v>0.72091661637406912</v>
      </c>
      <c r="AN36" s="6"/>
      <c r="AO36" s="16">
        <f t="shared" si="14"/>
        <v>1.4553091835027785E-2</v>
      </c>
      <c r="AP36" s="17">
        <f t="shared" si="15"/>
        <v>1.6495230015000004</v>
      </c>
    </row>
    <row r="37" spans="1:42" x14ac:dyDescent="0.25">
      <c r="A37" s="53" t="s">
        <v>44</v>
      </c>
      <c r="B37" s="50">
        <f>SUM(B38:B45)</f>
        <v>198.12245436032384</v>
      </c>
      <c r="C37" s="50">
        <f t="shared" ref="C37:AF37" si="17">SUM(C38:C45)</f>
        <v>204.55666403126261</v>
      </c>
      <c r="D37" s="50">
        <f t="shared" si="17"/>
        <v>189.13704757611049</v>
      </c>
      <c r="E37" s="50">
        <f t="shared" si="17"/>
        <v>200.48979029100343</v>
      </c>
      <c r="F37" s="50">
        <f t="shared" si="17"/>
        <v>209.5157293368072</v>
      </c>
      <c r="G37" s="50">
        <f t="shared" si="17"/>
        <v>229.86258444591036</v>
      </c>
      <c r="H37" s="50">
        <f t="shared" si="17"/>
        <v>234.25129085503704</v>
      </c>
      <c r="I37" s="50">
        <f t="shared" si="17"/>
        <v>232.55470957200868</v>
      </c>
      <c r="J37" s="50">
        <f t="shared" si="17"/>
        <v>223.87306615652304</v>
      </c>
      <c r="K37" s="50">
        <f t="shared" si="17"/>
        <v>218.57524110042206</v>
      </c>
      <c r="L37" s="50">
        <f t="shared" si="17"/>
        <v>229.31967176144124</v>
      </c>
      <c r="M37" s="50">
        <f t="shared" si="17"/>
        <v>285.74962577437691</v>
      </c>
      <c r="N37" s="50">
        <f t="shared" si="17"/>
        <v>242.68381834999545</v>
      </c>
      <c r="O37" s="50">
        <f t="shared" si="17"/>
        <v>291.21964661787058</v>
      </c>
      <c r="P37" s="50">
        <f t="shared" si="17"/>
        <v>253.9225711623705</v>
      </c>
      <c r="Q37" s="50">
        <f t="shared" si="17"/>
        <v>261.55725384806118</v>
      </c>
      <c r="R37" s="50">
        <f t="shared" si="17"/>
        <v>254.68184170277149</v>
      </c>
      <c r="S37" s="50">
        <f t="shared" si="17"/>
        <v>252.13599499733331</v>
      </c>
      <c r="T37" s="50">
        <f t="shared" si="17"/>
        <v>251.61704980792831</v>
      </c>
      <c r="U37" s="50">
        <f t="shared" si="17"/>
        <v>249.13249873878402</v>
      </c>
      <c r="V37" s="50">
        <f t="shared" si="17"/>
        <v>316.79442371781892</v>
      </c>
      <c r="W37" s="50">
        <f t="shared" si="17"/>
        <v>272.11375414816183</v>
      </c>
      <c r="X37" s="50">
        <f t="shared" si="17"/>
        <v>247.78956322611674</v>
      </c>
      <c r="Y37" s="50">
        <f t="shared" si="17"/>
        <v>261.37331487935529</v>
      </c>
      <c r="Z37" s="50">
        <f t="shared" si="17"/>
        <v>261.62312507097391</v>
      </c>
      <c r="AA37" s="50">
        <f t="shared" si="17"/>
        <v>257.72721187130577</v>
      </c>
      <c r="AB37" s="50">
        <f t="shared" si="17"/>
        <v>241.82480883799082</v>
      </c>
      <c r="AC37" s="50">
        <f t="shared" si="17"/>
        <v>309.29388923588823</v>
      </c>
      <c r="AD37" s="50">
        <f t="shared" si="17"/>
        <v>255.61425087405516</v>
      </c>
      <c r="AE37" s="50">
        <f t="shared" si="17"/>
        <v>248.8429311842531</v>
      </c>
      <c r="AF37" s="50">
        <f t="shared" si="17"/>
        <v>246.44147511647461</v>
      </c>
      <c r="AG37" s="50">
        <f>SUM(AG38:AG45)</f>
        <v>239.85263147972816</v>
      </c>
      <c r="AH37" s="50">
        <f>SUM(AH38:AH45)</f>
        <v>240.24223737779897</v>
      </c>
      <c r="AI37" s="50">
        <f>SUM(AI38:AI45)</f>
        <v>252.63204656924103</v>
      </c>
      <c r="AJ37" s="50">
        <f>SUM(AJ38:AJ45)</f>
        <v>236.13381478344363</v>
      </c>
      <c r="AK37" s="50">
        <f>SUM(AK38:AK45)</f>
        <v>43.329793619463615</v>
      </c>
      <c r="AL37" s="9">
        <f t="shared" ref="AL37:AL43" si="18">AK37/$AK$48</f>
        <v>8.0997984291387437E-3</v>
      </c>
      <c r="AM37" s="9">
        <f t="shared" si="16"/>
        <v>-0.78129791618339217</v>
      </c>
      <c r="AN37" s="56"/>
      <c r="AO37" s="11">
        <f t="shared" si="14"/>
        <v>-0.81650322441450829</v>
      </c>
      <c r="AP37" s="12">
        <f t="shared" si="15"/>
        <v>-192.80402116398</v>
      </c>
    </row>
    <row r="38" spans="1:42" outlineLevel="1" x14ac:dyDescent="0.25">
      <c r="A38" s="51" t="s">
        <v>45</v>
      </c>
      <c r="B38" s="52">
        <v>148.48351385634717</v>
      </c>
      <c r="C38" s="52">
        <v>152.70681812089799</v>
      </c>
      <c r="D38" s="52">
        <v>155.75275912583294</v>
      </c>
      <c r="E38" s="52">
        <v>159.43873720517661</v>
      </c>
      <c r="F38" s="52">
        <v>165.15108800503398</v>
      </c>
      <c r="G38" s="52">
        <v>170.86488765903144</v>
      </c>
      <c r="H38" s="52">
        <v>179.48004907874031</v>
      </c>
      <c r="I38" s="52">
        <v>179.37496041920207</v>
      </c>
      <c r="J38" s="52">
        <v>181.26633943660866</v>
      </c>
      <c r="K38" s="52">
        <v>182.25932538562557</v>
      </c>
      <c r="L38" s="52">
        <v>185.6420510414429</v>
      </c>
      <c r="M38" s="52">
        <v>191.59907470313277</v>
      </c>
      <c r="N38" s="52">
        <v>192.10527225799942</v>
      </c>
      <c r="O38" s="52">
        <v>196.90242722902499</v>
      </c>
      <c r="P38" s="52">
        <v>197.3018900074764</v>
      </c>
      <c r="Q38" s="52">
        <v>197.90564633919135</v>
      </c>
      <c r="R38" s="52">
        <v>201.7284021812585</v>
      </c>
      <c r="S38" s="52">
        <v>203.32787593950039</v>
      </c>
      <c r="T38" s="52">
        <v>203.70285432393024</v>
      </c>
      <c r="U38" s="52">
        <v>201.52942476054255</v>
      </c>
      <c r="V38" s="52">
        <v>208.72293400612435</v>
      </c>
      <c r="W38" s="52">
        <v>209.42459099091411</v>
      </c>
      <c r="X38" s="52">
        <v>203.28726470449649</v>
      </c>
      <c r="Y38" s="52">
        <v>204.71101654082622</v>
      </c>
      <c r="Z38" s="52">
        <v>205.10549537148873</v>
      </c>
      <c r="AA38" s="52">
        <v>204.97406039594009</v>
      </c>
      <c r="AB38" s="52">
        <v>204.68902792157672</v>
      </c>
      <c r="AC38" s="52">
        <v>213.72661376249042</v>
      </c>
      <c r="AD38" s="52">
        <v>207.7622983193136</v>
      </c>
      <c r="AE38" s="52">
        <v>205.91270570757757</v>
      </c>
      <c r="AF38" s="52">
        <v>205.7796372523901</v>
      </c>
      <c r="AG38" s="52">
        <v>205.12712591143134</v>
      </c>
      <c r="AH38" s="52">
        <v>205.98910390860055</v>
      </c>
      <c r="AI38" s="52">
        <v>206.98932630039204</v>
      </c>
      <c r="AJ38" s="52">
        <v>207.95710237435893</v>
      </c>
      <c r="AK38" s="52">
        <v>0</v>
      </c>
      <c r="AL38" s="15">
        <f t="shared" si="18"/>
        <v>0</v>
      </c>
      <c r="AM38" s="15">
        <f t="shared" si="16"/>
        <v>-1</v>
      </c>
      <c r="AN38" s="57"/>
      <c r="AO38" s="16">
        <f t="shared" si="14"/>
        <v>-1</v>
      </c>
      <c r="AP38" s="17">
        <f t="shared" si="15"/>
        <v>-207.95710237435893</v>
      </c>
    </row>
    <row r="39" spans="1:42" outlineLevel="1" x14ac:dyDescent="0.25">
      <c r="A39" s="51" t="s">
        <v>46</v>
      </c>
      <c r="B39" s="52">
        <v>1.2169731830801453E-2</v>
      </c>
      <c r="C39" s="52">
        <v>7.8211644156821677E-3</v>
      </c>
      <c r="D39" s="52">
        <v>5.027444486400497E-3</v>
      </c>
      <c r="E39" s="52">
        <v>1.013622908272409E-2</v>
      </c>
      <c r="F39" s="52">
        <v>1.1637892650535065E-2</v>
      </c>
      <c r="G39" s="52">
        <v>1.5892606092666167E-2</v>
      </c>
      <c r="H39" s="52">
        <v>1.7675831579441702E-2</v>
      </c>
      <c r="I39" s="52">
        <v>9.6669592177831606E-3</v>
      </c>
      <c r="J39" s="52">
        <v>5.0993991990247742E-3</v>
      </c>
      <c r="K39" s="52">
        <v>4.1608594691429131E-3</v>
      </c>
      <c r="L39" s="52">
        <v>1.0449075659351376E-2</v>
      </c>
      <c r="M39" s="52">
        <v>9.8834400000000003E-2</v>
      </c>
      <c r="N39" s="52">
        <v>9.9335250000000003E-3</v>
      </c>
      <c r="O39" s="52">
        <v>5.0032000000000007E-2</v>
      </c>
      <c r="P39" s="52">
        <v>0.10882666666666668</v>
      </c>
      <c r="Q39" s="52">
        <v>2.2922499999999998E-2</v>
      </c>
      <c r="R39" s="52">
        <v>4.2400000000000007E-3</v>
      </c>
      <c r="S39" s="52">
        <v>0</v>
      </c>
      <c r="T39" s="52">
        <v>4.0594819999542594E-3</v>
      </c>
      <c r="U39" s="52">
        <v>2.2924831999603422E-3</v>
      </c>
      <c r="V39" s="52">
        <v>3.956383052540393E-3</v>
      </c>
      <c r="W39" s="52">
        <v>0</v>
      </c>
      <c r="X39" s="52">
        <v>4.6993333333333334E-4</v>
      </c>
      <c r="Y39" s="52">
        <v>0</v>
      </c>
      <c r="Z39" s="52">
        <v>0</v>
      </c>
      <c r="AA39" s="52">
        <v>0</v>
      </c>
      <c r="AB39" s="52">
        <v>0</v>
      </c>
      <c r="AC39" s="52">
        <v>0</v>
      </c>
      <c r="AD39" s="52">
        <v>3.7100000000000002E-3</v>
      </c>
      <c r="AE39" s="52">
        <v>3.7100000000000002E-3</v>
      </c>
      <c r="AF39" s="52">
        <v>0</v>
      </c>
      <c r="AG39" s="52">
        <v>4.2399999999999998E-3</v>
      </c>
      <c r="AH39" s="52">
        <v>1.8550000000000001E-3</v>
      </c>
      <c r="AI39" s="52">
        <v>3.3390000000000003E-2</v>
      </c>
      <c r="AJ39" s="52">
        <v>3.2648E-3</v>
      </c>
      <c r="AK39" s="52">
        <v>5.1251461912159783E-2</v>
      </c>
      <c r="AL39" s="15">
        <f t="shared" si="18"/>
        <v>9.5806251544365148E-6</v>
      </c>
      <c r="AM39" s="15">
        <f t="shared" si="16"/>
        <v>3.2113879438528725</v>
      </c>
      <c r="AN39" s="57"/>
      <c r="AO39" s="16">
        <f t="shared" si="14"/>
        <v>14.698193430580675</v>
      </c>
      <c r="AP39" s="17">
        <f t="shared" si="15"/>
        <v>4.7986661912159785E-2</v>
      </c>
    </row>
    <row r="40" spans="1:42" outlineLevel="1" x14ac:dyDescent="0.25">
      <c r="A40" s="51" t="s">
        <v>47</v>
      </c>
      <c r="B40" s="52">
        <v>7.8202940920572601</v>
      </c>
      <c r="C40" s="52">
        <v>16.256237701860172</v>
      </c>
      <c r="D40" s="52">
        <v>1.2155104806049433</v>
      </c>
      <c r="E40" s="52">
        <v>2.4279736428073977</v>
      </c>
      <c r="F40" s="52">
        <v>2.7940887403864529</v>
      </c>
      <c r="G40" s="52">
        <v>11.396090903957338</v>
      </c>
      <c r="H40" s="52">
        <v>4.3437837949637306</v>
      </c>
      <c r="I40" s="52">
        <v>13.180580286773342</v>
      </c>
      <c r="J40" s="52">
        <v>8.3590651229791177</v>
      </c>
      <c r="K40" s="52">
        <v>2.9276452602650598</v>
      </c>
      <c r="L40" s="52">
        <v>2.8545858683237402</v>
      </c>
      <c r="M40" s="52">
        <v>7.8140878171586934</v>
      </c>
      <c r="N40" s="52">
        <v>18.156414289446175</v>
      </c>
      <c r="O40" s="52">
        <v>16.965524699026378</v>
      </c>
      <c r="P40" s="52">
        <v>5.8685874830706517</v>
      </c>
      <c r="Q40" s="52">
        <v>5.1113419413502603</v>
      </c>
      <c r="R40" s="52">
        <v>3.9262450004614382</v>
      </c>
      <c r="S40" s="52">
        <v>5.5863913733109989</v>
      </c>
      <c r="T40" s="52">
        <v>9.1404936178435321</v>
      </c>
      <c r="U40" s="52">
        <v>4.6632615829622699</v>
      </c>
      <c r="V40" s="52">
        <v>11.89458266513793</v>
      </c>
      <c r="W40" s="52">
        <v>8.8321240929977893</v>
      </c>
      <c r="X40" s="52">
        <v>11.471861222624456</v>
      </c>
      <c r="Y40" s="52">
        <v>11.857615159996289</v>
      </c>
      <c r="Z40" s="52">
        <v>10.369873906769604</v>
      </c>
      <c r="AA40" s="52">
        <v>10.610208589114153</v>
      </c>
      <c r="AB40" s="52">
        <v>3.9560513792345762</v>
      </c>
      <c r="AC40" s="52">
        <v>9.2039476676374079</v>
      </c>
      <c r="AD40" s="52">
        <v>4.2549004465856868</v>
      </c>
      <c r="AE40" s="52">
        <v>2.8682909912047045</v>
      </c>
      <c r="AF40" s="52">
        <v>4.5465892825935406</v>
      </c>
      <c r="AG40" s="52">
        <v>3.3490417135329404</v>
      </c>
      <c r="AH40" s="52">
        <v>3.1971682162485981</v>
      </c>
      <c r="AI40" s="52">
        <v>5.1446768608970839</v>
      </c>
      <c r="AJ40" s="52">
        <v>1.3922675197498262</v>
      </c>
      <c r="AK40" s="52">
        <v>13.526079013484621</v>
      </c>
      <c r="AL40" s="15">
        <f t="shared" si="18"/>
        <v>2.5284799301840176E-3</v>
      </c>
      <c r="AM40" s="15">
        <f t="shared" si="16"/>
        <v>0.72961257649152655</v>
      </c>
      <c r="AN40" s="57"/>
      <c r="AO40" s="16">
        <f t="shared" si="14"/>
        <v>8.7151436930131752</v>
      </c>
      <c r="AP40" s="17">
        <f t="shared" si="15"/>
        <v>12.133811493734795</v>
      </c>
    </row>
    <row r="41" spans="1:42" outlineLevel="1" x14ac:dyDescent="0.25">
      <c r="A41" s="51" t="s">
        <v>48</v>
      </c>
      <c r="B41" s="52">
        <v>39.48514511559268</v>
      </c>
      <c r="C41" s="52">
        <v>33.56479117025328</v>
      </c>
      <c r="D41" s="52">
        <v>29.738961879785236</v>
      </c>
      <c r="E41" s="52">
        <v>36.558543611862532</v>
      </c>
      <c r="F41" s="52">
        <v>38.518996718051163</v>
      </c>
      <c r="G41" s="52">
        <v>44.188064907311798</v>
      </c>
      <c r="H41" s="52">
        <v>46.482791222808125</v>
      </c>
      <c r="I41" s="52">
        <v>35.586647981468765</v>
      </c>
      <c r="J41" s="52">
        <v>29.326273593969425</v>
      </c>
      <c r="K41" s="52">
        <v>27.95452817961046</v>
      </c>
      <c r="L41" s="52">
        <v>36.317897358315527</v>
      </c>
      <c r="M41" s="52">
        <v>79.327166697899969</v>
      </c>
      <c r="N41" s="52">
        <v>24.450160368771428</v>
      </c>
      <c r="O41" s="52">
        <v>66.627312097842861</v>
      </c>
      <c r="P41" s="52">
        <v>41.355484158214281</v>
      </c>
      <c r="Q41" s="52">
        <v>43.993543504285711</v>
      </c>
      <c r="R41" s="52">
        <v>37.51553431</v>
      </c>
      <c r="S41" s="52">
        <v>30.749978073525014</v>
      </c>
      <c r="T41" s="52">
        <v>27.06423726127662</v>
      </c>
      <c r="U41" s="52">
        <v>27.105588785161085</v>
      </c>
      <c r="V41" s="52">
        <v>82.485406091221066</v>
      </c>
      <c r="W41" s="52">
        <v>42.514536561683471</v>
      </c>
      <c r="X41" s="52">
        <v>22.048726152172602</v>
      </c>
      <c r="Y41" s="52">
        <v>33.408037471857128</v>
      </c>
      <c r="Z41" s="52">
        <v>35.821227608414361</v>
      </c>
      <c r="AA41" s="52">
        <v>31.17682825326402</v>
      </c>
      <c r="AB41" s="52">
        <v>22.286090403743415</v>
      </c>
      <c r="AC41" s="52">
        <v>73.711101771372384</v>
      </c>
      <c r="AD41" s="52">
        <v>31.088899035192853</v>
      </c>
      <c r="AE41" s="52">
        <v>26.686057831288995</v>
      </c>
      <c r="AF41" s="52">
        <v>23.38246988766149</v>
      </c>
      <c r="AG41" s="52">
        <v>18.73090072800203</v>
      </c>
      <c r="AH41" s="52">
        <v>18.187790458716314</v>
      </c>
      <c r="AI41" s="52">
        <v>28.169036583002036</v>
      </c>
      <c r="AJ41" s="52">
        <v>15.423992429402032</v>
      </c>
      <c r="AK41" s="52">
        <v>22.740303580129467</v>
      </c>
      <c r="AL41" s="15">
        <f t="shared" si="18"/>
        <v>4.2509289758936759E-3</v>
      </c>
      <c r="AM41" s="15">
        <f t="shared" si="16"/>
        <v>-0.42407952374095942</v>
      </c>
      <c r="AN41" s="57"/>
      <c r="AO41" s="16">
        <f t="shared" si="14"/>
        <v>0.47434613211950849</v>
      </c>
      <c r="AP41" s="17">
        <f t="shared" si="15"/>
        <v>7.3163111507274348</v>
      </c>
    </row>
    <row r="42" spans="1:42" outlineLevel="1" x14ac:dyDescent="0.25">
      <c r="A42" s="51" t="s">
        <v>49</v>
      </c>
      <c r="B42" s="52">
        <v>2.3208545594483354</v>
      </c>
      <c r="C42" s="52">
        <v>2.0171663966926592</v>
      </c>
      <c r="D42" s="52">
        <v>2.4190444296867164</v>
      </c>
      <c r="E42" s="52">
        <v>2.0467406477884511</v>
      </c>
      <c r="F42" s="52">
        <v>3.0303442878279103</v>
      </c>
      <c r="G42" s="52">
        <v>3.3301103180885065</v>
      </c>
      <c r="H42" s="52">
        <v>3.8014885169454393</v>
      </c>
      <c r="I42" s="52">
        <v>4.2193871567752961</v>
      </c>
      <c r="J42" s="52">
        <v>4.674857476623961</v>
      </c>
      <c r="K42" s="52">
        <v>5.1301859297375412</v>
      </c>
      <c r="L42" s="52">
        <v>4.0784072619854657</v>
      </c>
      <c r="M42" s="52">
        <v>6.3772953304712603</v>
      </c>
      <c r="N42" s="52">
        <v>7.428871083064112</v>
      </c>
      <c r="O42" s="52">
        <v>9.4449151948334613</v>
      </c>
      <c r="P42" s="52">
        <v>7.7102131640853546</v>
      </c>
      <c r="Q42" s="52">
        <v>12.249961308948151</v>
      </c>
      <c r="R42" s="52">
        <v>9.2335819567658124</v>
      </c>
      <c r="S42" s="52">
        <v>10.197911356711174</v>
      </c>
      <c r="T42" s="52">
        <v>9.0834325828779665</v>
      </c>
      <c r="U42" s="52">
        <v>13.209958586918173</v>
      </c>
      <c r="V42" s="52">
        <v>11.067486770854417</v>
      </c>
      <c r="W42" s="52">
        <v>8.7243594397092945</v>
      </c>
      <c r="X42" s="52">
        <v>8.365012889204138</v>
      </c>
      <c r="Y42" s="52">
        <v>8.7823321209613887</v>
      </c>
      <c r="Z42" s="52">
        <v>7.7141293371583313</v>
      </c>
      <c r="AA42" s="52">
        <v>8.4116801444160956</v>
      </c>
      <c r="AB42" s="52">
        <v>8.3971690034361153</v>
      </c>
      <c r="AC42" s="52">
        <v>10.213720262959463</v>
      </c>
      <c r="AD42" s="52">
        <v>10.123901660105862</v>
      </c>
      <c r="AE42" s="52">
        <v>11.049589599896116</v>
      </c>
      <c r="AF42" s="52">
        <v>10.527087309543763</v>
      </c>
      <c r="AG42" s="52">
        <v>10.55251741247614</v>
      </c>
      <c r="AH42" s="52">
        <v>10.777514079947789</v>
      </c>
      <c r="AI42" s="52">
        <v>10.903079682092745</v>
      </c>
      <c r="AJ42" s="52">
        <v>10.312784802789963</v>
      </c>
      <c r="AK42" s="52">
        <v>7.0121595639373657</v>
      </c>
      <c r="AL42" s="15">
        <f t="shared" si="18"/>
        <v>1.3108088979066129E-3</v>
      </c>
      <c r="AM42" s="15">
        <f t="shared" si="16"/>
        <v>2.0213696654925886</v>
      </c>
      <c r="AN42" s="57"/>
      <c r="AO42" s="16">
        <f t="shared" si="14"/>
        <v>-0.32005179027488917</v>
      </c>
      <c r="AP42" s="17">
        <f t="shared" si="15"/>
        <v>-3.3006252388525974</v>
      </c>
    </row>
    <row r="43" spans="1:42" outlineLevel="1" x14ac:dyDescent="0.25">
      <c r="A43" s="51" t="s">
        <v>50</v>
      </c>
      <c r="B43" s="52">
        <v>4.7700504761904826E-4</v>
      </c>
      <c r="C43" s="52">
        <v>3.8294771428571345E-3</v>
      </c>
      <c r="D43" s="52">
        <v>5.7442157142857022E-3</v>
      </c>
      <c r="E43" s="52">
        <v>7.6589542857142976E-3</v>
      </c>
      <c r="F43" s="52">
        <v>9.5736928571428671E-3</v>
      </c>
      <c r="G43" s="52">
        <v>6.7538051428571375E-2</v>
      </c>
      <c r="H43" s="52">
        <v>0.12550240999999998</v>
      </c>
      <c r="I43" s="52">
        <v>0.18346676857142868</v>
      </c>
      <c r="J43" s="52">
        <v>0.24143112714285711</v>
      </c>
      <c r="K43" s="52">
        <v>0.29939548571428576</v>
      </c>
      <c r="L43" s="52">
        <v>0.41628115571428659</v>
      </c>
      <c r="M43" s="52">
        <v>0.53316682571428664</v>
      </c>
      <c r="N43" s="52">
        <v>0.53316682571428664</v>
      </c>
      <c r="O43" s="52">
        <v>1.2294353971428569</v>
      </c>
      <c r="P43" s="52">
        <v>1.5775696828571422</v>
      </c>
      <c r="Q43" s="52">
        <v>2.273838254285713</v>
      </c>
      <c r="R43" s="52">
        <v>2.273838254285713</v>
      </c>
      <c r="S43" s="52">
        <v>2.273838254285713</v>
      </c>
      <c r="T43" s="52">
        <v>2.6219725399999998</v>
      </c>
      <c r="U43" s="52">
        <v>2.6219725399999998</v>
      </c>
      <c r="V43" s="52">
        <v>2.6200578014285707</v>
      </c>
      <c r="W43" s="52">
        <v>2.618143062857142</v>
      </c>
      <c r="X43" s="52">
        <v>2.6162283242857129</v>
      </c>
      <c r="Y43" s="52">
        <v>2.614313585714287</v>
      </c>
      <c r="Z43" s="52">
        <v>2.6123988471428579</v>
      </c>
      <c r="AA43" s="52">
        <v>2.5544344885714292</v>
      </c>
      <c r="AB43" s="52">
        <v>2.4964701300000001</v>
      </c>
      <c r="AC43" s="52">
        <v>2.4385057714285709</v>
      </c>
      <c r="AD43" s="52">
        <v>2.3805414128571423</v>
      </c>
      <c r="AE43" s="52">
        <v>2.3225770542857131</v>
      </c>
      <c r="AF43" s="52">
        <v>2.2056913842857133</v>
      </c>
      <c r="AG43" s="52">
        <v>2.088805714285713</v>
      </c>
      <c r="AH43" s="52">
        <v>2.088805714285713</v>
      </c>
      <c r="AI43" s="52">
        <v>1.392537142857142</v>
      </c>
      <c r="AJ43" s="52">
        <v>1.0444028571428572</v>
      </c>
      <c r="AK43" s="52">
        <v>0</v>
      </c>
      <c r="AL43" s="15">
        <f t="shared" si="18"/>
        <v>0</v>
      </c>
      <c r="AM43" s="15">
        <f t="shared" si="16"/>
        <v>-1</v>
      </c>
      <c r="AN43" s="57"/>
      <c r="AO43" s="16">
        <f t="shared" si="14"/>
        <v>-1</v>
      </c>
      <c r="AP43" s="17">
        <f t="shared" si="15"/>
        <v>-1.0444028571428572</v>
      </c>
    </row>
    <row r="44" spans="1:42" outlineLevel="1" x14ac:dyDescent="0.25">
      <c r="A44" s="51" t="s">
        <v>51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15"/>
      <c r="AM44" s="15"/>
      <c r="AN44" s="57"/>
      <c r="AO44" s="16"/>
      <c r="AP44" s="17"/>
    </row>
    <row r="45" spans="1:42" outlineLevel="1" x14ac:dyDescent="0.25">
      <c r="A45" s="51" t="s">
        <v>52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1"/>
      <c r="AM45" s="51"/>
      <c r="AN45" s="57"/>
      <c r="AO45" s="16"/>
      <c r="AP45" s="17"/>
    </row>
    <row r="46" spans="1:42" x14ac:dyDescent="0.25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32"/>
      <c r="U46" s="58"/>
      <c r="V46" s="58"/>
      <c r="W46" s="58"/>
      <c r="X46" s="58"/>
      <c r="Y46" s="58"/>
      <c r="Z46" s="32"/>
      <c r="AA46" s="32"/>
      <c r="AB46" s="32"/>
      <c r="AC46" s="32"/>
      <c r="AD46" s="32"/>
      <c r="AE46" s="32"/>
      <c r="AF46" s="59"/>
      <c r="AG46" s="59"/>
      <c r="AH46" s="59"/>
      <c r="AI46" s="59"/>
      <c r="AJ46" s="59"/>
      <c r="AK46" s="59"/>
      <c r="AL46" s="28"/>
      <c r="AM46" s="6"/>
      <c r="AN46" s="6"/>
      <c r="AO46" s="29"/>
      <c r="AP46" s="23"/>
    </row>
    <row r="47" spans="1:42" x14ac:dyDescent="0.25">
      <c r="A47" s="60" t="s">
        <v>53</v>
      </c>
      <c r="B47" s="61">
        <f t="shared" ref="B47:AA47" si="19">SUM(B2,B7,B8,B9,B10,B11,B17,B23,B24,B32)</f>
        <v>6236.7864186178385</v>
      </c>
      <c r="C47" s="61">
        <f t="shared" si="19"/>
        <v>6020.6946729079473</v>
      </c>
      <c r="D47" s="61">
        <f t="shared" si="19"/>
        <v>5959.9638868960737</v>
      </c>
      <c r="E47" s="61">
        <f t="shared" si="19"/>
        <v>6113.3033883797516</v>
      </c>
      <c r="F47" s="61">
        <f t="shared" si="19"/>
        <v>6333.100094063524</v>
      </c>
      <c r="G47" s="61">
        <f t="shared" si="19"/>
        <v>6597.2530774630086</v>
      </c>
      <c r="H47" s="61">
        <f t="shared" si="19"/>
        <v>6680.4862329064472</v>
      </c>
      <c r="I47" s="61">
        <f t="shared" si="19"/>
        <v>6574.0345142228198</v>
      </c>
      <c r="J47" s="61">
        <f t="shared" si="19"/>
        <v>6969.6062244311424</v>
      </c>
      <c r="K47" s="61">
        <f t="shared" si="19"/>
        <v>6768.4260884202076</v>
      </c>
      <c r="L47" s="61">
        <f t="shared" si="19"/>
        <v>6509.6044441846416</v>
      </c>
      <c r="M47" s="61">
        <f t="shared" si="19"/>
        <v>6091.9055929906353</v>
      </c>
      <c r="N47" s="61">
        <f t="shared" si="19"/>
        <v>5794.9832801477824</v>
      </c>
      <c r="O47" s="61">
        <f t="shared" si="19"/>
        <v>5725.9708148433874</v>
      </c>
      <c r="P47" s="61">
        <f t="shared" si="19"/>
        <v>5608.8019796752569</v>
      </c>
      <c r="Q47" s="61">
        <f t="shared" si="19"/>
        <v>5500.3171380091162</v>
      </c>
      <c r="R47" s="61">
        <f t="shared" si="19"/>
        <v>5373.4814115970121</v>
      </c>
      <c r="S47" s="61">
        <f t="shared" si="19"/>
        <v>5233.7604455895553</v>
      </c>
      <c r="T47" s="61">
        <f t="shared" si="19"/>
        <v>5073.3542498055158</v>
      </c>
      <c r="U47" s="61">
        <f t="shared" si="19"/>
        <v>4936.9904384468009</v>
      </c>
      <c r="V47" s="61">
        <f t="shared" si="19"/>
        <v>5202.5252736129223</v>
      </c>
      <c r="W47" s="61">
        <f t="shared" si="19"/>
        <v>4813.3398891999259</v>
      </c>
      <c r="X47" s="61">
        <f t="shared" si="19"/>
        <v>4935.0052953384593</v>
      </c>
      <c r="Y47" s="61">
        <f t="shared" si="19"/>
        <v>5281.3626476674272</v>
      </c>
      <c r="Z47" s="61">
        <f t="shared" si="19"/>
        <v>5149.2612832121495</v>
      </c>
      <c r="AA47" s="61">
        <f t="shared" si="19"/>
        <v>5206.0956974441478</v>
      </c>
      <c r="AB47" s="61">
        <f>SUM(AB2,AB7,AB8,AB9,AB10,AB11,AB17,AB23,AB24,AB32)</f>
        <v>5348.5635860609464</v>
      </c>
      <c r="AC47" s="61">
        <f>SUM(AC2,AC7,AC8,AC9,AC10,AC11,AC17,AC23,AC24,AC32)</f>
        <v>5645.7119183294471</v>
      </c>
      <c r="AD47" s="61">
        <f t="shared" ref="AD47:AK47" si="20">SUM(AD2,AD7,AD8,AD9,AD10,AD11,AD17,AD23,AD24,AD32)</f>
        <v>5887.0838304704403</v>
      </c>
      <c r="AE47" s="61">
        <f t="shared" si="20"/>
        <v>5689.061799517086</v>
      </c>
      <c r="AF47" s="61">
        <f t="shared" si="20"/>
        <v>5679.8856331290608</v>
      </c>
      <c r="AG47" s="61">
        <f t="shared" si="20"/>
        <v>5858.941579535368</v>
      </c>
      <c r="AH47" s="61">
        <f t="shared" si="20"/>
        <v>5463.5558047115101</v>
      </c>
      <c r="AI47" s="61">
        <f t="shared" si="20"/>
        <v>5020.6093330284593</v>
      </c>
      <c r="AJ47" s="61">
        <f t="shared" si="20"/>
        <v>5087.1241482268561</v>
      </c>
      <c r="AK47" s="61">
        <f t="shared" si="20"/>
        <v>5306.160566978423</v>
      </c>
      <c r="AL47" s="9">
        <f>AF47/$AF$47</f>
        <v>1</v>
      </c>
      <c r="AM47" s="9">
        <f>(AK47-B47)/B47</f>
        <v>-0.14921560386633467</v>
      </c>
      <c r="AN47" s="6"/>
      <c r="AO47" s="11">
        <f>(AK47-AJ47)/AJ47</f>
        <v>4.3057022468758366E-2</v>
      </c>
      <c r="AP47" s="12">
        <f t="shared" ref="AP47" si="21">AF47-AE47</f>
        <v>-9.1761663880251945</v>
      </c>
    </row>
    <row r="48" spans="1:42" x14ac:dyDescent="0.25">
      <c r="A48" s="60" t="s">
        <v>54</v>
      </c>
      <c r="B48" s="61">
        <f>SUM(B2,B7,B8,B9,B10,B11,B17,B23,B24,B32,B37)</f>
        <v>6434.9088729781624</v>
      </c>
      <c r="C48" s="61">
        <f t="shared" ref="C48:AK48" si="22">SUM(C2,C7,C8,C9,C10,C11,C17,C23,C24,C32,C37)</f>
        <v>6225.25133693921</v>
      </c>
      <c r="D48" s="61">
        <f t="shared" si="22"/>
        <v>6149.1009344721842</v>
      </c>
      <c r="E48" s="61">
        <f t="shared" si="22"/>
        <v>6313.793178670755</v>
      </c>
      <c r="F48" s="61">
        <f t="shared" si="22"/>
        <v>6542.6158234003315</v>
      </c>
      <c r="G48" s="61">
        <f t="shared" si="22"/>
        <v>6827.1156619089188</v>
      </c>
      <c r="H48" s="61">
        <f t="shared" si="22"/>
        <v>6914.7375237614842</v>
      </c>
      <c r="I48" s="61">
        <f t="shared" si="22"/>
        <v>6806.5892237948283</v>
      </c>
      <c r="J48" s="61">
        <f t="shared" si="22"/>
        <v>7193.4792905876657</v>
      </c>
      <c r="K48" s="61">
        <f t="shared" si="22"/>
        <v>6987.00132952063</v>
      </c>
      <c r="L48" s="61">
        <f t="shared" si="22"/>
        <v>6738.9241159460826</v>
      </c>
      <c r="M48" s="61">
        <f t="shared" si="22"/>
        <v>6377.6552187650123</v>
      </c>
      <c r="N48" s="61">
        <f t="shared" si="22"/>
        <v>6037.6670984977782</v>
      </c>
      <c r="O48" s="61">
        <f t="shared" si="22"/>
        <v>6017.1904614612577</v>
      </c>
      <c r="P48" s="61">
        <f t="shared" si="22"/>
        <v>5862.7245508376272</v>
      </c>
      <c r="Q48" s="61">
        <f t="shared" si="22"/>
        <v>5761.8743918571772</v>
      </c>
      <c r="R48" s="61">
        <f t="shared" si="22"/>
        <v>5628.1632532997837</v>
      </c>
      <c r="S48" s="61">
        <f t="shared" si="22"/>
        <v>5485.8964405868883</v>
      </c>
      <c r="T48" s="61">
        <f t="shared" si="22"/>
        <v>5324.971299613444</v>
      </c>
      <c r="U48" s="61">
        <f t="shared" si="22"/>
        <v>5186.1229371855852</v>
      </c>
      <c r="V48" s="61">
        <f t="shared" si="22"/>
        <v>5519.3196973307413</v>
      </c>
      <c r="W48" s="61">
        <f t="shared" si="22"/>
        <v>5085.453643348088</v>
      </c>
      <c r="X48" s="61">
        <f t="shared" si="22"/>
        <v>5182.7948585645763</v>
      </c>
      <c r="Y48" s="61">
        <f t="shared" si="22"/>
        <v>5542.7359625467825</v>
      </c>
      <c r="Z48" s="61">
        <f t="shared" si="22"/>
        <v>5410.8844082831238</v>
      </c>
      <c r="AA48" s="61">
        <f t="shared" si="22"/>
        <v>5463.8229093154532</v>
      </c>
      <c r="AB48" s="61">
        <f t="shared" si="22"/>
        <v>5590.3883948989369</v>
      </c>
      <c r="AC48" s="61">
        <f t="shared" si="22"/>
        <v>5955.0058075653351</v>
      </c>
      <c r="AD48" s="61">
        <f t="shared" si="22"/>
        <v>6142.6980813444952</v>
      </c>
      <c r="AE48" s="61">
        <f t="shared" si="22"/>
        <v>5937.9047307013388</v>
      </c>
      <c r="AF48" s="61">
        <f t="shared" si="22"/>
        <v>5926.3271082455358</v>
      </c>
      <c r="AG48" s="61">
        <f t="shared" si="22"/>
        <v>6098.7942110150962</v>
      </c>
      <c r="AH48" s="61">
        <f t="shared" si="22"/>
        <v>5703.7980420893091</v>
      </c>
      <c r="AI48" s="61">
        <f t="shared" si="22"/>
        <v>5273.2413795977</v>
      </c>
      <c r="AJ48" s="61">
        <f t="shared" si="22"/>
        <v>5323.2579630103</v>
      </c>
      <c r="AK48" s="61">
        <f t="shared" si="22"/>
        <v>5349.490360597887</v>
      </c>
      <c r="AL48" s="9">
        <f>AF48/$AF$48</f>
        <v>1</v>
      </c>
      <c r="AM48" s="9">
        <f>(AK48-B48)/B48</f>
        <v>-0.16867659415321745</v>
      </c>
      <c r="AN48" s="6"/>
      <c r="AO48" s="11">
        <f>(AK48-AJ48)/AJ48</f>
        <v>4.9278839706563072E-3</v>
      </c>
      <c r="AP48" s="12">
        <f>AK48-AJ48</f>
        <v>26.232397587587002</v>
      </c>
    </row>
    <row r="49" spans="26:42" x14ac:dyDescent="0.25"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M49" s="6"/>
      <c r="AN49" s="6"/>
      <c r="AO49" s="6"/>
      <c r="AP49" s="39"/>
    </row>
    <row r="50" spans="26:42" x14ac:dyDescent="0.25"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7"/>
      <c r="AN50" s="67"/>
    </row>
    <row r="51" spans="26:42" x14ac:dyDescent="0.25"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7"/>
    </row>
    <row r="52" spans="26:42" x14ac:dyDescent="0.25"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7"/>
      <c r="AP52" s="54"/>
    </row>
    <row r="53" spans="26:42" x14ac:dyDescent="0.25"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7"/>
      <c r="AP53" s="54"/>
    </row>
    <row r="54" spans="26:42" x14ac:dyDescent="0.25"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7"/>
      <c r="AP54" s="54"/>
    </row>
    <row r="55" spans="26:42" x14ac:dyDescent="0.25"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7"/>
      <c r="AP55" s="54"/>
    </row>
    <row r="56" spans="26:42" x14ac:dyDescent="0.25"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7"/>
      <c r="AP56" s="54"/>
    </row>
    <row r="57" spans="26:42" x14ac:dyDescent="0.25"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7"/>
      <c r="AP57" s="54"/>
    </row>
    <row r="58" spans="26:42" x14ac:dyDescent="0.25"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7"/>
      <c r="AO58" s="66"/>
      <c r="AP58" s="54"/>
    </row>
    <row r="59" spans="26:42" x14ac:dyDescent="0.25"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7"/>
      <c r="AP59" s="54"/>
    </row>
    <row r="60" spans="26:42" x14ac:dyDescent="0.25"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7"/>
      <c r="AM60" s="67"/>
      <c r="AP60" s="54"/>
    </row>
    <row r="61" spans="26:42" x14ac:dyDescent="0.25"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P61" s="54"/>
    </row>
    <row r="62" spans="26:42" x14ac:dyDescent="0.25"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P62" s="54"/>
    </row>
    <row r="63" spans="26:42" x14ac:dyDescent="0.25">
      <c r="AP63" s="54"/>
    </row>
    <row r="64" spans="26:42" x14ac:dyDescent="0.25">
      <c r="AP64" s="54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17A32-51EF-4CAC-98DF-A9169E2EB8AC}">
  <sheetPr>
    <tabColor rgb="FFFF0000"/>
    <outlinePr summaryBelow="0"/>
  </sheetPr>
  <dimension ref="A1:AR119"/>
  <sheetViews>
    <sheetView zoomScale="75" zoomScaleNormal="75" workbookViewId="0">
      <pane ySplit="1" topLeftCell="A2" activePane="bottomLeft" state="frozen"/>
      <selection activeCell="AJ21" sqref="AJ21"/>
      <selection pane="bottomLeft"/>
    </sheetView>
  </sheetViews>
  <sheetFormatPr defaultColWidth="9.28515625" defaultRowHeight="15" outlineLevelRow="1" x14ac:dyDescent="0.25"/>
  <cols>
    <col min="1" max="1" width="39.42578125" style="72" customWidth="1"/>
    <col min="2" max="2" width="9.85546875" style="72" bestFit="1" customWidth="1"/>
    <col min="3" max="16" width="9.85546875" style="72" hidden="1" customWidth="1"/>
    <col min="17" max="32" width="9.85546875" style="72" customWidth="1"/>
    <col min="33" max="35" width="9.85546875" style="72" bestFit="1" customWidth="1"/>
    <col min="36" max="37" width="9.85546875" style="72" customWidth="1"/>
    <col min="38" max="38" width="12.42578125" style="72" customWidth="1"/>
    <col min="39" max="39" width="11.28515625" style="72" customWidth="1"/>
    <col min="40" max="40" width="9.28515625" style="72"/>
    <col min="41" max="41" width="10.28515625" style="72" bestFit="1" customWidth="1"/>
    <col min="42" max="16384" width="9.28515625" style="72"/>
  </cols>
  <sheetData>
    <row r="1" spans="1:41" x14ac:dyDescent="0.25">
      <c r="A1" s="1" t="s">
        <v>0</v>
      </c>
      <c r="B1" s="70">
        <v>1990</v>
      </c>
      <c r="C1" s="70">
        <v>1991</v>
      </c>
      <c r="D1" s="70">
        <v>1992</v>
      </c>
      <c r="E1" s="70">
        <v>1993</v>
      </c>
      <c r="F1" s="70">
        <v>1994</v>
      </c>
      <c r="G1" s="70">
        <v>1995</v>
      </c>
      <c r="H1" s="70">
        <v>1996</v>
      </c>
      <c r="I1" s="70">
        <v>1997</v>
      </c>
      <c r="J1" s="70">
        <v>1998</v>
      </c>
      <c r="K1" s="70">
        <v>1999</v>
      </c>
      <c r="L1" s="70">
        <v>2000</v>
      </c>
      <c r="M1" s="70">
        <v>2001</v>
      </c>
      <c r="N1" s="70">
        <v>2002</v>
      </c>
      <c r="O1" s="70">
        <v>2003</v>
      </c>
      <c r="P1" s="70">
        <v>2004</v>
      </c>
      <c r="Q1" s="70">
        <v>2005</v>
      </c>
      <c r="R1" s="70">
        <v>2006</v>
      </c>
      <c r="S1" s="70">
        <v>2007</v>
      </c>
      <c r="T1" s="70">
        <v>2008</v>
      </c>
      <c r="U1" s="70">
        <v>2009</v>
      </c>
      <c r="V1" s="70">
        <v>2010</v>
      </c>
      <c r="W1" s="70">
        <v>2011</v>
      </c>
      <c r="X1" s="70">
        <v>2012</v>
      </c>
      <c r="Y1" s="70">
        <v>2013</v>
      </c>
      <c r="Z1" s="70">
        <v>2014</v>
      </c>
      <c r="AA1" s="70">
        <v>2015</v>
      </c>
      <c r="AB1" s="70">
        <v>2016</v>
      </c>
      <c r="AC1" s="70">
        <v>2017</v>
      </c>
      <c r="AD1" s="70">
        <v>2018</v>
      </c>
      <c r="AE1" s="70">
        <v>2019</v>
      </c>
      <c r="AF1" s="70">
        <v>2020</v>
      </c>
      <c r="AG1" s="70">
        <v>2021</v>
      </c>
      <c r="AH1" s="70">
        <v>2022</v>
      </c>
      <c r="AI1" s="70">
        <v>2023</v>
      </c>
      <c r="AJ1" s="70">
        <v>2024</v>
      </c>
      <c r="AK1" s="70">
        <v>2025</v>
      </c>
      <c r="AL1" s="71"/>
      <c r="AM1" s="11" t="s">
        <v>59</v>
      </c>
      <c r="AO1" s="223" t="s">
        <v>93</v>
      </c>
    </row>
    <row r="2" spans="1:41" x14ac:dyDescent="0.25">
      <c r="A2" s="73" t="s">
        <v>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>
        <f t="shared" ref="Q2:AK2" si="0">SUM(Q3:Q6)</f>
        <v>15719.021411847914</v>
      </c>
      <c r="R2" s="75">
        <f t="shared" si="0"/>
        <v>14959.151681255073</v>
      </c>
      <c r="S2" s="75">
        <f t="shared" si="0"/>
        <v>14458.892999221416</v>
      </c>
      <c r="T2" s="75">
        <f t="shared" si="0"/>
        <v>14555.154855455741</v>
      </c>
      <c r="U2" s="75">
        <f t="shared" si="0"/>
        <v>12972.031248500442</v>
      </c>
      <c r="V2" s="75">
        <f t="shared" si="0"/>
        <v>13227.937453998806</v>
      </c>
      <c r="W2" s="75">
        <f t="shared" si="0"/>
        <v>11824.35745980615</v>
      </c>
      <c r="X2" s="75">
        <f t="shared" si="0"/>
        <v>12593.824698066823</v>
      </c>
      <c r="Y2" s="75">
        <f t="shared" si="0"/>
        <v>11198.169341650571</v>
      </c>
      <c r="Z2" s="75">
        <f t="shared" si="0"/>
        <v>10972.469162066225</v>
      </c>
      <c r="AA2" s="75">
        <f t="shared" si="0"/>
        <v>11578.789994507219</v>
      </c>
      <c r="AB2" s="75">
        <f t="shared" si="0"/>
        <v>12286.104701953025</v>
      </c>
      <c r="AC2" s="75">
        <f t="shared" si="0"/>
        <v>11313.95802633064</v>
      </c>
      <c r="AD2" s="75">
        <f t="shared" si="0"/>
        <v>9796.7234036268565</v>
      </c>
      <c r="AE2" s="75">
        <f t="shared" si="0"/>
        <v>8566.810014231598</v>
      </c>
      <c r="AF2" s="75">
        <f t="shared" si="0"/>
        <v>7917.1249248464101</v>
      </c>
      <c r="AG2" s="75">
        <f t="shared" si="0"/>
        <v>9478.8030108280964</v>
      </c>
      <c r="AH2" s="75">
        <f t="shared" si="0"/>
        <v>9280.3639186287528</v>
      </c>
      <c r="AI2" s="75">
        <f t="shared" si="0"/>
        <v>7128.6881311509724</v>
      </c>
      <c r="AJ2" s="75">
        <f t="shared" si="0"/>
        <v>6524.7299559397925</v>
      </c>
      <c r="AK2" s="75">
        <f t="shared" si="0"/>
        <v>6044.4950528989466</v>
      </c>
      <c r="AL2" s="76"/>
      <c r="AM2" s="77">
        <f>(AK2-AJ2)/AJ2</f>
        <v>-7.3602264964799616E-2</v>
      </c>
    </row>
    <row r="3" spans="1:41" outlineLevel="1" x14ac:dyDescent="0.25">
      <c r="A3" s="78" t="s">
        <v>10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>
        <v>15136.448</v>
      </c>
      <c r="R3" s="79">
        <v>14410.774854998934</v>
      </c>
      <c r="S3" s="79">
        <v>13932.81325075683</v>
      </c>
      <c r="T3" s="79">
        <v>14005.000329140021</v>
      </c>
      <c r="U3" s="79">
        <v>12466.315540699123</v>
      </c>
      <c r="V3" s="79">
        <v>12745.138537904344</v>
      </c>
      <c r="W3" s="79">
        <v>11403.863656698652</v>
      </c>
      <c r="X3" s="79">
        <v>12135.638113628964</v>
      </c>
      <c r="Y3" s="79">
        <v>10743.315690100872</v>
      </c>
      <c r="Z3" s="79">
        <v>10560.104049718642</v>
      </c>
      <c r="AA3" s="79">
        <v>11105.548008128471</v>
      </c>
      <c r="AB3" s="79">
        <v>11845.208992248423</v>
      </c>
      <c r="AC3" s="79">
        <v>10864.892933695703</v>
      </c>
      <c r="AD3" s="79">
        <v>9356.3751430859265</v>
      </c>
      <c r="AE3" s="79">
        <v>8185.1529590908694</v>
      </c>
      <c r="AF3" s="79">
        <v>7524.3313054680948</v>
      </c>
      <c r="AG3" s="79">
        <v>9103.4853817840885</v>
      </c>
      <c r="AH3" s="79">
        <v>8905.3940884996446</v>
      </c>
      <c r="AI3" s="79">
        <v>6807.8948992561354</v>
      </c>
      <c r="AJ3" s="79">
        <v>6309.9882606684305</v>
      </c>
      <c r="AK3" s="79">
        <v>5746.9150858664052</v>
      </c>
      <c r="AL3" s="80"/>
      <c r="AM3" s="81">
        <f>(AK3-AJ3)/AJ3</f>
        <v>-8.9235217490306037E-2</v>
      </c>
    </row>
    <row r="4" spans="1:41" outlineLevel="1" x14ac:dyDescent="0.25">
      <c r="A4" s="78" t="s">
        <v>11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>
        <v>411.21800000000002</v>
      </c>
      <c r="R4" s="79">
        <v>376.53081763761026</v>
      </c>
      <c r="S4" s="79">
        <v>360.19567000000006</v>
      </c>
      <c r="T4" s="79">
        <v>366.88739000000004</v>
      </c>
      <c r="U4" s="79">
        <v>314.90624917837295</v>
      </c>
      <c r="V4" s="79">
        <v>310.11213604709906</v>
      </c>
      <c r="W4" s="79">
        <v>285.17234600815999</v>
      </c>
      <c r="X4" s="79">
        <v>313.29541118269918</v>
      </c>
      <c r="Y4" s="79">
        <v>294.25747651457567</v>
      </c>
      <c r="Z4" s="79">
        <v>279.18488377122759</v>
      </c>
      <c r="AA4" s="79">
        <v>358.37596659407865</v>
      </c>
      <c r="AB4" s="79">
        <v>313.25275922727405</v>
      </c>
      <c r="AC4" s="79">
        <v>310.8603112593662</v>
      </c>
      <c r="AD4" s="79">
        <v>321.84914255165774</v>
      </c>
      <c r="AE4" s="79">
        <v>274.24173878710286</v>
      </c>
      <c r="AF4" s="79">
        <v>300.68999489346697</v>
      </c>
      <c r="AG4" s="79">
        <v>294.06803016859737</v>
      </c>
      <c r="AH4" s="79">
        <v>307.97759908604445</v>
      </c>
      <c r="AI4" s="79">
        <v>286.86740424040096</v>
      </c>
      <c r="AJ4" s="79">
        <v>209.75569286523935</v>
      </c>
      <c r="AK4" s="79">
        <v>291.84580632093832</v>
      </c>
      <c r="AL4" s="80"/>
      <c r="AM4" s="81">
        <f t="shared" ref="AM4:AM6" si="1">(AK4-AJ4)/AJ4</f>
        <v>0.39136059829584208</v>
      </c>
    </row>
    <row r="5" spans="1:41" outlineLevel="1" x14ac:dyDescent="0.25">
      <c r="A5" s="78" t="s">
        <v>12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>
        <v>171.35541184791299</v>
      </c>
      <c r="R5" s="79">
        <v>171.84600861852721</v>
      </c>
      <c r="S5" s="79">
        <v>165.88407846458588</v>
      </c>
      <c r="T5" s="79">
        <v>183.26713631572071</v>
      </c>
      <c r="U5" s="79">
        <v>190.80945862294465</v>
      </c>
      <c r="V5" s="79">
        <v>172.68678004736256</v>
      </c>
      <c r="W5" s="79">
        <v>135.32145709933951</v>
      </c>
      <c r="X5" s="79">
        <v>144.89117325515971</v>
      </c>
      <c r="Y5" s="79">
        <v>160.5961750351226</v>
      </c>
      <c r="Z5" s="79">
        <v>133.18022857635461</v>
      </c>
      <c r="AA5" s="79">
        <v>103.37373680444065</v>
      </c>
      <c r="AB5" s="79">
        <v>124.94551959992691</v>
      </c>
      <c r="AC5" s="79">
        <v>128.23556086950995</v>
      </c>
      <c r="AD5" s="79">
        <v>118.1374049157708</v>
      </c>
      <c r="AE5" s="79">
        <v>106.92279896639197</v>
      </c>
      <c r="AF5" s="79">
        <v>91.537550118142519</v>
      </c>
      <c r="AG5" s="79">
        <v>80.482754499882134</v>
      </c>
      <c r="AH5" s="79">
        <v>66.678231214728442</v>
      </c>
      <c r="AI5" s="79">
        <v>33.520290204395508</v>
      </c>
      <c r="AJ5" s="79">
        <v>4.450504946692214</v>
      </c>
      <c r="AK5" s="79">
        <v>5.234795190465535</v>
      </c>
      <c r="AL5" s="80"/>
      <c r="AM5" s="81">
        <f t="shared" si="1"/>
        <v>0.1762250021441355</v>
      </c>
    </row>
    <row r="6" spans="1:41" outlineLevel="1" x14ac:dyDescent="0.25">
      <c r="A6" s="78" t="s">
        <v>13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>
        <v>0</v>
      </c>
      <c r="R6" s="79">
        <v>0</v>
      </c>
      <c r="S6" s="79">
        <v>0</v>
      </c>
      <c r="T6" s="79">
        <v>0</v>
      </c>
      <c r="U6" s="79">
        <v>0</v>
      </c>
      <c r="V6" s="79">
        <v>0</v>
      </c>
      <c r="W6" s="79">
        <v>0</v>
      </c>
      <c r="X6" s="79">
        <v>0</v>
      </c>
      <c r="Y6" s="79">
        <v>0</v>
      </c>
      <c r="Z6" s="79">
        <v>0</v>
      </c>
      <c r="AA6" s="79">
        <v>11.492282980228163</v>
      </c>
      <c r="AB6" s="79">
        <v>2.6974308774000004</v>
      </c>
      <c r="AC6" s="79">
        <v>9.9692205060595835</v>
      </c>
      <c r="AD6" s="79">
        <v>0.36171307349999998</v>
      </c>
      <c r="AE6" s="79">
        <v>0.49251738723270005</v>
      </c>
      <c r="AF6" s="79">
        <v>0.56607436670580003</v>
      </c>
      <c r="AG6" s="79">
        <v>0.76684437552900009</v>
      </c>
      <c r="AH6" s="79">
        <v>0.31399982833557005</v>
      </c>
      <c r="AI6" s="79">
        <v>0.40553745004050007</v>
      </c>
      <c r="AJ6" s="79">
        <v>0.53549745943054194</v>
      </c>
      <c r="AK6" s="79">
        <v>0.4993655211377161</v>
      </c>
      <c r="AL6" s="80"/>
      <c r="AM6" s="81">
        <f t="shared" si="1"/>
        <v>-6.7473594237495035E-2</v>
      </c>
    </row>
    <row r="7" spans="1:41" x14ac:dyDescent="0.25">
      <c r="A7" s="82" t="s">
        <v>14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>
        <v>12.278</v>
      </c>
      <c r="R7" s="83">
        <v>13.089</v>
      </c>
      <c r="S7" s="83">
        <v>10.417243245727319</v>
      </c>
      <c r="T7" s="83">
        <v>8.3070047782178875</v>
      </c>
      <c r="U7" s="83">
        <v>6.8478554607194972</v>
      </c>
      <c r="V7" s="83">
        <v>3.6471999415289922</v>
      </c>
      <c r="W7" s="83">
        <v>0</v>
      </c>
      <c r="X7" s="83">
        <v>0</v>
      </c>
      <c r="Y7" s="83">
        <v>0</v>
      </c>
      <c r="Z7" s="83">
        <v>0</v>
      </c>
      <c r="AA7" s="83">
        <v>0</v>
      </c>
      <c r="AB7" s="83">
        <v>0</v>
      </c>
      <c r="AC7" s="83">
        <v>0</v>
      </c>
      <c r="AD7" s="83">
        <v>0</v>
      </c>
      <c r="AE7" s="83">
        <v>0</v>
      </c>
      <c r="AF7" s="83">
        <v>0</v>
      </c>
      <c r="AG7" s="83">
        <v>0</v>
      </c>
      <c r="AH7" s="83">
        <v>0</v>
      </c>
      <c r="AI7" s="83">
        <v>0</v>
      </c>
      <c r="AJ7" s="83">
        <v>0</v>
      </c>
      <c r="AK7" s="83">
        <v>0</v>
      </c>
      <c r="AL7" s="80"/>
      <c r="AM7" s="84"/>
    </row>
    <row r="8" spans="1:41" x14ac:dyDescent="0.25">
      <c r="A8" s="82" t="s">
        <v>15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5">
        <v>4042.0727961973371</v>
      </c>
      <c r="R8" s="85">
        <v>4123.9908570655425</v>
      </c>
      <c r="S8" s="85">
        <v>4122.0106194276887</v>
      </c>
      <c r="T8" s="85">
        <v>3482.4003175765129</v>
      </c>
      <c r="U8" s="85">
        <v>2716.5159229903684</v>
      </c>
      <c r="V8" s="85">
        <v>2786.5860440435677</v>
      </c>
      <c r="W8" s="85">
        <v>2728.9974418322449</v>
      </c>
      <c r="X8" s="85">
        <v>2826.1715588690613</v>
      </c>
      <c r="Y8" s="85">
        <v>3156.2521151593978</v>
      </c>
      <c r="Z8" s="85">
        <v>3307.1907811662277</v>
      </c>
      <c r="AA8" s="85">
        <v>3381.3059166632515</v>
      </c>
      <c r="AB8" s="85">
        <v>3403.4662263405648</v>
      </c>
      <c r="AC8" s="85">
        <v>3461.9832526558444</v>
      </c>
      <c r="AD8" s="85">
        <v>3524.7969468818064</v>
      </c>
      <c r="AE8" s="85">
        <v>3450.6214636607015</v>
      </c>
      <c r="AF8" s="85">
        <v>3384.9195476706655</v>
      </c>
      <c r="AG8" s="85">
        <v>3492.9703545712846</v>
      </c>
      <c r="AH8" s="85">
        <v>3250.4614169365586</v>
      </c>
      <c r="AI8" s="85">
        <v>3073.3853439880113</v>
      </c>
      <c r="AJ8" s="85">
        <v>3031.17762690264</v>
      </c>
      <c r="AK8" s="85">
        <v>2943.4309141003077</v>
      </c>
      <c r="AL8" s="80"/>
      <c r="AM8" s="84">
        <f>(AK8-AJ8)/AJ8</f>
        <v>-2.894806032597793E-2</v>
      </c>
    </row>
    <row r="9" spans="1:41" x14ac:dyDescent="0.25">
      <c r="A9" s="82" t="s">
        <v>16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>
        <v>64.926000000000002</v>
      </c>
      <c r="R9" s="83">
        <v>63.868406999999998</v>
      </c>
      <c r="S9" s="83">
        <v>70.956616544456324</v>
      </c>
      <c r="T9" s="83">
        <v>33.416250088031219</v>
      </c>
      <c r="U9" s="83">
        <v>31.79288140380924</v>
      </c>
      <c r="V9" s="83">
        <v>31.663645199679603</v>
      </c>
      <c r="W9" s="83">
        <v>28.211685933016891</v>
      </c>
      <c r="X9" s="83">
        <v>30.72817312111793</v>
      </c>
      <c r="Y9" s="83">
        <v>29.482885860202845</v>
      </c>
      <c r="Z9" s="83">
        <v>24.48288777967397</v>
      </c>
      <c r="AA9" s="83">
        <v>26.397770096476933</v>
      </c>
      <c r="AB9" s="83">
        <v>28.395191724118078</v>
      </c>
      <c r="AC9" s="83">
        <v>30.662585578663112</v>
      </c>
      <c r="AD9" s="83">
        <v>50.347795046594555</v>
      </c>
      <c r="AE9" s="83">
        <v>47.474662917087571</v>
      </c>
      <c r="AF9" s="83">
        <v>51.651432186563362</v>
      </c>
      <c r="AG9" s="83">
        <v>53.412018889460292</v>
      </c>
      <c r="AH9" s="83">
        <v>49.939243389234385</v>
      </c>
      <c r="AI9" s="83">
        <v>17.787734688710735</v>
      </c>
      <c r="AJ9" s="83">
        <v>45.712578858579256</v>
      </c>
      <c r="AK9" s="83">
        <v>21.185794803403454</v>
      </c>
      <c r="AL9" s="80"/>
      <c r="AM9" s="84">
        <f>(AK9-AJ9)/AJ9</f>
        <v>-0.53654343438059304</v>
      </c>
    </row>
    <row r="10" spans="1:41" x14ac:dyDescent="0.25">
      <c r="A10" s="82" t="s">
        <v>17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0"/>
      <c r="AM10" s="84"/>
    </row>
    <row r="11" spans="1:41" x14ac:dyDescent="0.25">
      <c r="A11" s="82" t="s">
        <v>18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>
        <f>SUM(Q12:Q16)</f>
        <v>5.1159999999999997</v>
      </c>
      <c r="R11" s="83">
        <f t="shared" ref="R11:AH11" si="2">SUM(R12:R16)</f>
        <v>4.2716099999999999</v>
      </c>
      <c r="S11" s="83">
        <f t="shared" si="2"/>
        <v>3.101728291205335</v>
      </c>
      <c r="T11" s="83">
        <f t="shared" si="2"/>
        <v>2.9315081871496815</v>
      </c>
      <c r="U11" s="83">
        <f t="shared" si="2"/>
        <v>3.0324879905525566</v>
      </c>
      <c r="V11" s="83">
        <f t="shared" si="2"/>
        <v>4.9326153469153704</v>
      </c>
      <c r="W11" s="83">
        <f t="shared" si="2"/>
        <v>8.5287417366405105</v>
      </c>
      <c r="X11" s="83">
        <f t="shared" si="2"/>
        <v>9.7080553508898877</v>
      </c>
      <c r="Y11" s="83">
        <f t="shared" si="2"/>
        <v>23.353385157267546</v>
      </c>
      <c r="Z11" s="83">
        <f t="shared" si="2"/>
        <v>21.098490774316744</v>
      </c>
      <c r="AA11" s="83">
        <f t="shared" si="2"/>
        <v>24.709119890620233</v>
      </c>
      <c r="AB11" s="83">
        <f t="shared" si="2"/>
        <v>66.211197297986558</v>
      </c>
      <c r="AC11" s="83">
        <f t="shared" si="2"/>
        <v>64.471916779725561</v>
      </c>
      <c r="AD11" s="83">
        <f t="shared" si="2"/>
        <v>68.973586135067677</v>
      </c>
      <c r="AE11" s="83">
        <f t="shared" si="2"/>
        <v>57.251358028294106</v>
      </c>
      <c r="AF11" s="83">
        <f t="shared" si="2"/>
        <v>48.707379389952663</v>
      </c>
      <c r="AG11" s="83">
        <f t="shared" si="2"/>
        <v>54.669661067922725</v>
      </c>
      <c r="AH11" s="83">
        <f t="shared" si="2"/>
        <v>58.477715644543437</v>
      </c>
      <c r="AI11" s="83">
        <f>SUM(AI12:AI16)</f>
        <v>57.574880644043922</v>
      </c>
      <c r="AJ11" s="83">
        <f>SUM(AJ12:AJ16)</f>
        <v>62.813355346828949</v>
      </c>
      <c r="AK11" s="83">
        <f>SUM(AK12:AK16)</f>
        <v>63.85509694980118</v>
      </c>
      <c r="AL11" s="80"/>
      <c r="AM11" s="84">
        <f>(AK11-AJ11)/AJ11</f>
        <v>1.6584715101114582E-2</v>
      </c>
    </row>
    <row r="12" spans="1:41" outlineLevel="1" x14ac:dyDescent="0.25">
      <c r="A12" s="78" t="s">
        <v>19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>
        <f>'NEW Summary 1990-2025 CO2'!Y12</f>
        <v>15.236964785112086</v>
      </c>
      <c r="Z12" s="79">
        <f>'NEW Summary 1990-2025 CO2'!Z12</f>
        <v>14.56288630789064</v>
      </c>
      <c r="AA12" s="79">
        <f>'NEW Summary 1990-2025 CO2'!AA12</f>
        <v>15.503471706276226</v>
      </c>
      <c r="AB12" s="79">
        <f>'NEW Summary 1990-2025 CO2'!AB12</f>
        <v>16.698806545952053</v>
      </c>
      <c r="AC12" s="79">
        <f>'NEW Summary 1990-2025 CO2'!AC12</f>
        <v>17.402512272081452</v>
      </c>
      <c r="AD12" s="79">
        <f>'NEW Summary 1990-2025 CO2'!AD12</f>
        <v>16.546122490139844</v>
      </c>
      <c r="AE12" s="79">
        <f>'NEW Summary 1990-2025 CO2'!AE12</f>
        <v>17.761949953670818</v>
      </c>
      <c r="AF12" s="79">
        <f>'NEW Summary 1990-2025 CO2'!AF12</f>
        <v>13.486984802131513</v>
      </c>
      <c r="AG12" s="79">
        <f>'NEW Summary 1990-2025 CO2'!AG12</f>
        <v>19.535406144228347</v>
      </c>
      <c r="AH12" s="79">
        <f>'NEW Summary 1990-2025 CO2'!AH12</f>
        <v>21.501519178672208</v>
      </c>
      <c r="AI12" s="79">
        <f>'NEW Summary 1990-2025 CO2'!AI12</f>
        <v>23.031071717257952</v>
      </c>
      <c r="AJ12" s="79">
        <f>'NEW Summary 1990-2025 CO2'!AJ12</f>
        <v>25.825924023154037</v>
      </c>
      <c r="AK12" s="79">
        <f>'NEW Summary 1990-2025 CO2'!AK12</f>
        <v>27.726259465610585</v>
      </c>
      <c r="AL12" s="80"/>
      <c r="AM12" s="81">
        <f>(AK12-AJ12)/AJ12</f>
        <v>7.3582476303764258E-2</v>
      </c>
    </row>
    <row r="13" spans="1:41" outlineLevel="1" x14ac:dyDescent="0.25">
      <c r="A13" s="78" t="s">
        <v>20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80"/>
      <c r="AM13" s="81"/>
    </row>
    <row r="14" spans="1:41" outlineLevel="1" x14ac:dyDescent="0.25">
      <c r="A14" s="78" t="s">
        <v>21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80"/>
      <c r="AM14" s="81"/>
    </row>
    <row r="15" spans="1:41" outlineLevel="1" x14ac:dyDescent="0.25">
      <c r="A15" s="78" t="s">
        <v>22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80"/>
      <c r="AM15" s="81"/>
    </row>
    <row r="16" spans="1:41" outlineLevel="1" x14ac:dyDescent="0.25">
      <c r="A16" s="78" t="s">
        <v>23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>
        <v>5.1159999999999997</v>
      </c>
      <c r="R16" s="79">
        <v>4.2716099999999999</v>
      </c>
      <c r="S16" s="79">
        <v>3.101728291205335</v>
      </c>
      <c r="T16" s="79">
        <v>2.9315081871496815</v>
      </c>
      <c r="U16" s="79">
        <v>3.0324879905525566</v>
      </c>
      <c r="V16" s="79">
        <v>4.9326153469153704</v>
      </c>
      <c r="W16" s="79">
        <v>8.5287417366405105</v>
      </c>
      <c r="X16" s="79">
        <v>9.7080553508898877</v>
      </c>
      <c r="Y16" s="79">
        <v>8.1164203721554617</v>
      </c>
      <c r="Z16" s="79">
        <v>6.5356044664261059</v>
      </c>
      <c r="AA16" s="79">
        <v>9.2056481843440068</v>
      </c>
      <c r="AB16" s="79">
        <v>49.512390752034499</v>
      </c>
      <c r="AC16" s="79">
        <v>47.069404507644109</v>
      </c>
      <c r="AD16" s="79">
        <v>52.42746364492784</v>
      </c>
      <c r="AE16" s="79">
        <v>39.489408074623285</v>
      </c>
      <c r="AF16" s="79">
        <v>35.220394587821147</v>
      </c>
      <c r="AG16" s="79">
        <v>35.134254923694378</v>
      </c>
      <c r="AH16" s="79">
        <v>36.976196465871233</v>
      </c>
      <c r="AI16" s="79">
        <v>34.543808926785971</v>
      </c>
      <c r="AJ16" s="79">
        <v>36.987431323674912</v>
      </c>
      <c r="AK16" s="79">
        <v>36.128837484190591</v>
      </c>
      <c r="AL16" s="80"/>
      <c r="AM16" s="81">
        <f>(AK16-AJ16)/AJ16</f>
        <v>-2.3213124262964225E-2</v>
      </c>
    </row>
    <row r="17" spans="1:44" x14ac:dyDescent="0.25">
      <c r="A17" s="82" t="s">
        <v>24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>
        <f t="shared" ref="Q17:AA17" si="3">SUM(Q18:Q22)</f>
        <v>2554.6837901100002</v>
      </c>
      <c r="R17" s="83">
        <f t="shared" si="3"/>
        <v>2538.7627910778574</v>
      </c>
      <c r="S17" s="83">
        <f t="shared" si="3"/>
        <v>2580.4341213620519</v>
      </c>
      <c r="T17" s="83">
        <f t="shared" si="3"/>
        <v>2302.2359797601521</v>
      </c>
      <c r="U17" s="83">
        <f t="shared" si="3"/>
        <v>1485.3521500814029</v>
      </c>
      <c r="V17" s="83">
        <f t="shared" si="3"/>
        <v>1299.0484147465625</v>
      </c>
      <c r="W17" s="83">
        <f t="shared" si="3"/>
        <v>1167.2705389694759</v>
      </c>
      <c r="X17" s="83">
        <f t="shared" si="3"/>
        <v>1391.9677990924167</v>
      </c>
      <c r="Y17" s="83">
        <f t="shared" si="3"/>
        <v>1301.6950015306572</v>
      </c>
      <c r="Z17" s="83">
        <f t="shared" si="3"/>
        <v>1650.4531530457709</v>
      </c>
      <c r="AA17" s="83">
        <f t="shared" si="3"/>
        <v>1830.3635214124333</v>
      </c>
      <c r="AB17" s="83">
        <f>SUM(AB18:AB22)</f>
        <v>1968.401352033223</v>
      </c>
      <c r="AC17" s="83">
        <f>SUM(AC18:AC22)</f>
        <v>2039.8562560230889</v>
      </c>
      <c r="AD17" s="83">
        <f t="shared" ref="AD17:AK17" si="4">SUM(AD18:AD22)</f>
        <v>2094.5489797619252</v>
      </c>
      <c r="AE17" s="83">
        <f t="shared" si="4"/>
        <v>2057.6690466445225</v>
      </c>
      <c r="AF17" s="83">
        <f t="shared" si="4"/>
        <v>1907.1635602316842</v>
      </c>
      <c r="AG17" s="83">
        <f t="shared" si="4"/>
        <v>2256.9405207619097</v>
      </c>
      <c r="AH17" s="83">
        <f t="shared" si="4"/>
        <v>2068.3747685666494</v>
      </c>
      <c r="AI17" s="83">
        <f t="shared" si="4"/>
        <v>1933.8876215143532</v>
      </c>
      <c r="AJ17" s="83">
        <f t="shared" si="4"/>
        <v>1654.3221432294365</v>
      </c>
      <c r="AK17" s="83">
        <f t="shared" si="4"/>
        <v>1622.103184702383</v>
      </c>
      <c r="AL17" s="80"/>
      <c r="AM17" s="84">
        <f>(AJ17-AK17)/AJ17</f>
        <v>1.9475625505536776E-2</v>
      </c>
    </row>
    <row r="18" spans="1:44" outlineLevel="1" x14ac:dyDescent="0.25">
      <c r="A18" s="78" t="s">
        <v>25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>
        <v>2554.6837901100002</v>
      </c>
      <c r="R18" s="79">
        <v>2538.7627910778574</v>
      </c>
      <c r="S18" s="79">
        <v>2580.4341213620519</v>
      </c>
      <c r="T18" s="79">
        <v>2302.2359797601521</v>
      </c>
      <c r="U18" s="79">
        <v>1485.3521500814029</v>
      </c>
      <c r="V18" s="79">
        <v>1299.0484147465625</v>
      </c>
      <c r="W18" s="79">
        <v>1167.2705389694759</v>
      </c>
      <c r="X18" s="79">
        <v>1391.9677990924167</v>
      </c>
      <c r="Y18" s="79">
        <v>1301.6950015306572</v>
      </c>
      <c r="Z18" s="79">
        <v>1650.4531530457709</v>
      </c>
      <c r="AA18" s="79">
        <v>1830.3635214124333</v>
      </c>
      <c r="AB18" s="79">
        <v>1968.401352033223</v>
      </c>
      <c r="AC18" s="79">
        <v>2039.8562560230889</v>
      </c>
      <c r="AD18" s="79">
        <v>2094.5489797619252</v>
      </c>
      <c r="AE18" s="79">
        <v>2057.6690466445225</v>
      </c>
      <c r="AF18" s="79">
        <v>1907.1635602316842</v>
      </c>
      <c r="AG18" s="79">
        <v>2256.9405207619097</v>
      </c>
      <c r="AH18" s="79">
        <v>2068.3747685666494</v>
      </c>
      <c r="AI18" s="79">
        <v>1933.8876215143532</v>
      </c>
      <c r="AJ18" s="79">
        <v>1654.3221432294365</v>
      </c>
      <c r="AK18" s="79">
        <v>1622.103184702383</v>
      </c>
      <c r="AL18" s="80"/>
      <c r="AM18" s="81">
        <f>(AJ18-AK18)/AJ18</f>
        <v>1.9475625505536776E-2</v>
      </c>
    </row>
    <row r="19" spans="1:44" outlineLevel="1" x14ac:dyDescent="0.25">
      <c r="A19" s="78" t="s">
        <v>26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80"/>
      <c r="AM19" s="81"/>
    </row>
    <row r="20" spans="1:44" outlineLevel="1" x14ac:dyDescent="0.25">
      <c r="A20" s="78" t="s">
        <v>27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80"/>
      <c r="AM20" s="81"/>
    </row>
    <row r="21" spans="1:44" outlineLevel="1" x14ac:dyDescent="0.25">
      <c r="A21" s="78" t="s">
        <v>28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80"/>
      <c r="AM21" s="81"/>
    </row>
    <row r="22" spans="1:44" outlineLevel="1" x14ac:dyDescent="0.25">
      <c r="A22" s="78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80"/>
      <c r="AM22" s="81"/>
    </row>
    <row r="23" spans="1:44" x14ac:dyDescent="0.25">
      <c r="A23" s="82" t="s">
        <v>30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0"/>
      <c r="AM23" s="84"/>
    </row>
    <row r="24" spans="1:44" x14ac:dyDescent="0.25">
      <c r="A24" s="82" t="s">
        <v>31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0"/>
      <c r="AM24" s="84"/>
    </row>
    <row r="25" spans="1:44" outlineLevel="1" x14ac:dyDescent="0.25">
      <c r="A25" s="78" t="s">
        <v>32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80"/>
      <c r="AM25" s="81"/>
    </row>
    <row r="26" spans="1:44" outlineLevel="1" x14ac:dyDescent="0.25">
      <c r="A26" s="78" t="s">
        <v>33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80"/>
      <c r="AM26" s="81"/>
    </row>
    <row r="27" spans="1:44" outlineLevel="1" x14ac:dyDescent="0.25">
      <c r="A27" s="78" t="s">
        <v>34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80"/>
      <c r="AM27" s="81"/>
    </row>
    <row r="28" spans="1:44" outlineLevel="1" x14ac:dyDescent="0.25">
      <c r="A28" s="78" t="s">
        <v>35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80"/>
      <c r="AM28" s="81"/>
    </row>
    <row r="29" spans="1:44" outlineLevel="1" x14ac:dyDescent="0.25">
      <c r="A29" s="78" t="s">
        <v>36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80"/>
      <c r="AM29" s="81"/>
    </row>
    <row r="30" spans="1:44" outlineLevel="1" x14ac:dyDescent="0.25">
      <c r="A30" s="78" t="s">
        <v>37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80"/>
      <c r="AM30" s="81"/>
      <c r="AR30" s="86"/>
    </row>
    <row r="31" spans="1:44" outlineLevel="1" x14ac:dyDescent="0.25">
      <c r="A31" s="78" t="s">
        <v>38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80"/>
      <c r="AM31" s="81"/>
    </row>
    <row r="32" spans="1:44" x14ac:dyDescent="0.25">
      <c r="A32" s="82" t="s">
        <v>39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0"/>
      <c r="AM32" s="84"/>
    </row>
    <row r="33" spans="1:40" outlineLevel="1" x14ac:dyDescent="0.25">
      <c r="A33" s="78" t="s">
        <v>40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80"/>
      <c r="AM33" s="81"/>
    </row>
    <row r="34" spans="1:40" outlineLevel="1" x14ac:dyDescent="0.25">
      <c r="A34" s="78" t="s">
        <v>41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80"/>
      <c r="AM34" s="81"/>
    </row>
    <row r="35" spans="1:40" outlineLevel="1" x14ac:dyDescent="0.25">
      <c r="A35" s="78" t="s">
        <v>42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80"/>
      <c r="AM35" s="81"/>
    </row>
    <row r="36" spans="1:40" outlineLevel="1" x14ac:dyDescent="0.25">
      <c r="A36" s="78" t="s">
        <v>43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80"/>
      <c r="AM36" s="81"/>
    </row>
    <row r="37" spans="1:40" x14ac:dyDescent="0.25">
      <c r="A37" s="82" t="s">
        <v>44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7"/>
      <c r="AM37" s="82"/>
      <c r="AN37" s="87"/>
    </row>
    <row r="38" spans="1:40" outlineLevel="1" x14ac:dyDescent="0.25">
      <c r="A38" s="78" t="s">
        <v>45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88"/>
      <c r="AM38" s="78"/>
      <c r="AN38" s="88"/>
    </row>
    <row r="39" spans="1:40" outlineLevel="1" x14ac:dyDescent="0.25">
      <c r="A39" s="78" t="s">
        <v>46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88"/>
      <c r="AM39" s="78"/>
      <c r="AN39" s="88"/>
    </row>
    <row r="40" spans="1:40" outlineLevel="1" x14ac:dyDescent="0.25">
      <c r="A40" s="78" t="s">
        <v>47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88"/>
      <c r="AM40" s="78"/>
      <c r="AN40" s="88"/>
    </row>
    <row r="41" spans="1:40" outlineLevel="1" x14ac:dyDescent="0.25">
      <c r="A41" s="78" t="s">
        <v>48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88"/>
      <c r="AM41" s="78"/>
      <c r="AN41" s="88"/>
    </row>
    <row r="42" spans="1:40" outlineLevel="1" x14ac:dyDescent="0.25">
      <c r="A42" s="78" t="s">
        <v>49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88"/>
      <c r="AM42" s="78"/>
      <c r="AN42" s="88"/>
    </row>
    <row r="43" spans="1:40" outlineLevel="1" x14ac:dyDescent="0.25">
      <c r="A43" s="78" t="s">
        <v>50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88"/>
      <c r="AM43" s="78"/>
      <c r="AN43" s="88"/>
    </row>
    <row r="44" spans="1:40" outlineLevel="1" x14ac:dyDescent="0.25">
      <c r="A44" s="78" t="s">
        <v>51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88"/>
      <c r="AM44" s="78"/>
      <c r="AN44" s="88"/>
    </row>
    <row r="45" spans="1:40" outlineLevel="1" x14ac:dyDescent="0.25">
      <c r="A45" s="78" t="s">
        <v>52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88"/>
      <c r="AM45" s="78"/>
      <c r="AN45" s="88"/>
    </row>
    <row r="46" spans="1:40" x14ac:dyDescent="0.25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55"/>
    </row>
    <row r="47" spans="1:40" x14ac:dyDescent="0.25">
      <c r="A47" s="90" t="s">
        <v>60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>
        <f>SUM(Q17,Q11,Q9,Q8,Q7,Q2)</f>
        <v>22398.097998155252</v>
      </c>
      <c r="R47" s="91">
        <f t="shared" ref="R47:AK47" si="5">SUM(R17,R11,R9,R8,R7,R2)</f>
        <v>21703.134346398474</v>
      </c>
      <c r="S47" s="91">
        <f t="shared" si="5"/>
        <v>21245.813328092547</v>
      </c>
      <c r="T47" s="91">
        <f t="shared" si="5"/>
        <v>20384.445915845805</v>
      </c>
      <c r="U47" s="91">
        <f t="shared" si="5"/>
        <v>17215.572546427295</v>
      </c>
      <c r="V47" s="91">
        <f t="shared" si="5"/>
        <v>17353.815373277059</v>
      </c>
      <c r="W47" s="91">
        <f t="shared" si="5"/>
        <v>15757.365868277528</v>
      </c>
      <c r="X47" s="91">
        <f t="shared" si="5"/>
        <v>16852.400284500309</v>
      </c>
      <c r="Y47" s="91">
        <f t="shared" si="5"/>
        <v>15708.952729358098</v>
      </c>
      <c r="Z47" s="91">
        <f t="shared" si="5"/>
        <v>15975.694474832215</v>
      </c>
      <c r="AA47" s="91">
        <f t="shared" si="5"/>
        <v>16841.566322570001</v>
      </c>
      <c r="AB47" s="91">
        <f t="shared" si="5"/>
        <v>17752.578669348917</v>
      </c>
      <c r="AC47" s="91">
        <f t="shared" si="5"/>
        <v>16910.932037367962</v>
      </c>
      <c r="AD47" s="91">
        <f t="shared" si="5"/>
        <v>15535.39071145225</v>
      </c>
      <c r="AE47" s="91">
        <f t="shared" si="5"/>
        <v>14179.826545482203</v>
      </c>
      <c r="AF47" s="91">
        <f t="shared" si="5"/>
        <v>13309.566844325276</v>
      </c>
      <c r="AG47" s="91">
        <f t="shared" si="5"/>
        <v>15336.795566118673</v>
      </c>
      <c r="AH47" s="91">
        <f t="shared" si="5"/>
        <v>14707.617063165739</v>
      </c>
      <c r="AI47" s="91">
        <f t="shared" si="5"/>
        <v>12211.323711986091</v>
      </c>
      <c r="AJ47" s="91">
        <f t="shared" si="5"/>
        <v>11318.755660277278</v>
      </c>
      <c r="AK47" s="91">
        <f t="shared" si="5"/>
        <v>10695.070043454842</v>
      </c>
      <c r="AL47" s="92"/>
      <c r="AM47" s="11">
        <f>(AK47-AJ47)/AJ47</f>
        <v>-5.510195957416384E-2</v>
      </c>
    </row>
    <row r="48" spans="1:40" x14ac:dyDescent="0.25"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</row>
    <row r="49" spans="1:37" x14ac:dyDescent="0.25">
      <c r="A49" s="94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</row>
    <row r="80" spans="1:41" x14ac:dyDescent="0.25">
      <c r="A80" s="96" t="s">
        <v>61</v>
      </c>
      <c r="B80" s="70">
        <v>1990</v>
      </c>
      <c r="C80" s="70">
        <v>1991</v>
      </c>
      <c r="D80" s="70">
        <v>1992</v>
      </c>
      <c r="E80" s="70">
        <v>1993</v>
      </c>
      <c r="F80" s="70">
        <v>1994</v>
      </c>
      <c r="G80" s="70">
        <v>1995</v>
      </c>
      <c r="H80" s="70">
        <v>1996</v>
      </c>
      <c r="I80" s="70">
        <v>1997</v>
      </c>
      <c r="J80" s="70">
        <v>1998</v>
      </c>
      <c r="K80" s="70">
        <v>1999</v>
      </c>
      <c r="L80" s="70">
        <v>2000</v>
      </c>
      <c r="M80" s="70">
        <v>2001</v>
      </c>
      <c r="N80" s="70">
        <v>2002</v>
      </c>
      <c r="O80" s="70">
        <v>2003</v>
      </c>
      <c r="P80" s="70">
        <v>2004</v>
      </c>
      <c r="Q80" s="70">
        <v>2005</v>
      </c>
      <c r="R80" s="70">
        <v>2006</v>
      </c>
      <c r="S80" s="70">
        <v>2007</v>
      </c>
      <c r="T80" s="70">
        <v>2008</v>
      </c>
      <c r="U80" s="70">
        <v>2009</v>
      </c>
      <c r="V80" s="70">
        <v>2010</v>
      </c>
      <c r="W80" s="70">
        <v>2011</v>
      </c>
      <c r="X80" s="70">
        <v>2012</v>
      </c>
      <c r="Y80" s="70">
        <v>2013</v>
      </c>
      <c r="Z80" s="70">
        <v>2014</v>
      </c>
      <c r="AA80" s="70">
        <v>2015</v>
      </c>
      <c r="AB80" s="70">
        <v>2016</v>
      </c>
      <c r="AC80" s="70">
        <v>2017</v>
      </c>
      <c r="AD80" s="70">
        <v>2018</v>
      </c>
      <c r="AE80" s="70">
        <v>2019</v>
      </c>
      <c r="AF80" s="70">
        <v>2020</v>
      </c>
      <c r="AG80" s="70">
        <v>2021</v>
      </c>
      <c r="AH80" s="70">
        <v>2022</v>
      </c>
      <c r="AI80" s="70">
        <v>2023</v>
      </c>
      <c r="AJ80" s="70">
        <v>2024</v>
      </c>
      <c r="AK80" s="70">
        <v>2025</v>
      </c>
      <c r="AL80" s="71"/>
      <c r="AM80" s="55"/>
      <c r="AO80" s="55"/>
    </row>
    <row r="81" spans="1:41" x14ac:dyDescent="0.25">
      <c r="A81" s="73" t="s">
        <v>9</v>
      </c>
      <c r="B81" s="75">
        <f t="shared" ref="B81:AB81" si="6">SUM(B82:B85)</f>
        <v>11315.301005472866</v>
      </c>
      <c r="C81" s="75">
        <f t="shared" si="6"/>
        <v>11765.228522519617</v>
      </c>
      <c r="D81" s="75">
        <f t="shared" si="6"/>
        <v>12421.329934179974</v>
      </c>
      <c r="E81" s="75">
        <f t="shared" si="6"/>
        <v>12439.203148006565</v>
      </c>
      <c r="F81" s="75">
        <f t="shared" si="6"/>
        <v>12774.644178044819</v>
      </c>
      <c r="G81" s="75">
        <f t="shared" si="6"/>
        <v>13458.404690372941</v>
      </c>
      <c r="H81" s="75">
        <f t="shared" si="6"/>
        <v>14175.558808211925</v>
      </c>
      <c r="I81" s="75">
        <f t="shared" si="6"/>
        <v>14829.635122104486</v>
      </c>
      <c r="J81" s="75">
        <f t="shared" si="6"/>
        <v>15195.44996359741</v>
      </c>
      <c r="K81" s="75">
        <f t="shared" si="6"/>
        <v>15891.645103417151</v>
      </c>
      <c r="L81" s="75">
        <f t="shared" si="6"/>
        <v>16168.629446525063</v>
      </c>
      <c r="M81" s="75">
        <f t="shared" si="6"/>
        <v>17455.607981275611</v>
      </c>
      <c r="N81" s="75">
        <f t="shared" si="6"/>
        <v>16457.932924800811</v>
      </c>
      <c r="O81" s="75">
        <f t="shared" si="6"/>
        <v>16510.314840322626</v>
      </c>
      <c r="P81" s="75">
        <f t="shared" si="6"/>
        <v>15379.178063121177</v>
      </c>
      <c r="Q81" s="75">
        <f t="shared" si="6"/>
        <v>144.18642251122242</v>
      </c>
      <c r="R81" s="75">
        <f t="shared" si="6"/>
        <v>159.85025704861485</v>
      </c>
      <c r="S81" s="75">
        <f t="shared" si="6"/>
        <v>171.23940642311609</v>
      </c>
      <c r="T81" s="75">
        <f t="shared" si="6"/>
        <v>186.63865341512903</v>
      </c>
      <c r="U81" s="75">
        <f t="shared" si="6"/>
        <v>178.06604096190748</v>
      </c>
      <c r="V81" s="75">
        <f t="shared" si="6"/>
        <v>184.40262631098</v>
      </c>
      <c r="W81" s="75">
        <f t="shared" si="6"/>
        <v>189.99707664700281</v>
      </c>
      <c r="X81" s="75">
        <f t="shared" si="6"/>
        <v>262.32005769157871</v>
      </c>
      <c r="Y81" s="75">
        <f t="shared" si="6"/>
        <v>296.18815641712621</v>
      </c>
      <c r="Z81" s="75">
        <f t="shared" si="6"/>
        <v>363.18733328415465</v>
      </c>
      <c r="AA81" s="75">
        <f t="shared" si="6"/>
        <v>319.65114719975685</v>
      </c>
      <c r="AB81" s="75">
        <f t="shared" si="6"/>
        <v>334.4897426058568</v>
      </c>
      <c r="AC81" s="75">
        <f t="shared" ref="AC81:AK81" si="7">SUM(AC82:AC85)</f>
        <v>495.88183269055423</v>
      </c>
      <c r="AD81" s="75">
        <f t="shared" si="7"/>
        <v>689.20004963000088</v>
      </c>
      <c r="AE81" s="75">
        <f t="shared" si="7"/>
        <v>668.99201903362643</v>
      </c>
      <c r="AF81" s="75">
        <f t="shared" si="7"/>
        <v>672.614708102907</v>
      </c>
      <c r="AG81" s="75">
        <f t="shared" si="7"/>
        <v>634.1682880537121</v>
      </c>
      <c r="AH81" s="75">
        <f t="shared" si="7"/>
        <v>647.70360359656536</v>
      </c>
      <c r="AI81" s="75">
        <f t="shared" si="7"/>
        <v>655.73923410952295</v>
      </c>
      <c r="AJ81" s="75">
        <f t="shared" si="7"/>
        <v>570.34968996260886</v>
      </c>
      <c r="AK81" s="75">
        <f t="shared" si="7"/>
        <v>545.06086794551572</v>
      </c>
      <c r="AL81" s="76"/>
      <c r="AM81" s="77">
        <f t="shared" ref="AM81:AM97" si="8">(AK81-AJ81)/AJ81</f>
        <v>-4.4339152737596879E-2</v>
      </c>
      <c r="AO81" s="77">
        <f t="shared" ref="AO81:AO97" si="9">(AK81-Q81)/Q81</f>
        <v>2.7802510004233731</v>
      </c>
    </row>
    <row r="82" spans="1:41" outlineLevel="1" x14ac:dyDescent="0.25">
      <c r="A82" s="78" t="s">
        <v>10</v>
      </c>
      <c r="B82" s="97">
        <f>'NEW Summary 1990-2025 GHG'!B3-'NON-ETS &amp; ETS'!B3</f>
        <v>10946.843523875565</v>
      </c>
      <c r="C82" s="97">
        <f>'NEW Summary 1990-2025 GHG'!C3-'NON-ETS &amp; ETS'!C3</f>
        <v>11433.692129653446</v>
      </c>
      <c r="D82" s="97">
        <f>'NEW Summary 1990-2025 GHG'!D3-'NON-ETS &amp; ETS'!D3</f>
        <v>12101.044184231978</v>
      </c>
      <c r="E82" s="97">
        <f>'NEW Summary 1990-2025 GHG'!E3-'NON-ETS &amp; ETS'!E3</f>
        <v>12119.179641532803</v>
      </c>
      <c r="F82" s="97">
        <f>'NEW Summary 1990-2025 GHG'!F3-'NON-ETS &amp; ETS'!F3</f>
        <v>12441.334762477909</v>
      </c>
      <c r="G82" s="97">
        <f>'NEW Summary 1990-2025 GHG'!G3-'NON-ETS &amp; ETS'!G3</f>
        <v>13125.652082965194</v>
      </c>
      <c r="H82" s="97">
        <f>'NEW Summary 1990-2025 GHG'!H3-'NON-ETS &amp; ETS'!H3</f>
        <v>13844.487886362778</v>
      </c>
      <c r="I82" s="97">
        <f>'NEW Summary 1990-2025 GHG'!I3-'NON-ETS &amp; ETS'!I3</f>
        <v>14483.159958911916</v>
      </c>
      <c r="J82" s="97">
        <f>'NEW Summary 1990-2025 GHG'!J3-'NON-ETS &amp; ETS'!J3</f>
        <v>14806.58635564058</v>
      </c>
      <c r="K82" s="97">
        <f>'NEW Summary 1990-2025 GHG'!K3-'NON-ETS &amp; ETS'!K3</f>
        <v>15490.970355986419</v>
      </c>
      <c r="L82" s="97">
        <f>'NEW Summary 1990-2025 GHG'!L3-'NON-ETS &amp; ETS'!L3</f>
        <v>15747.195053909554</v>
      </c>
      <c r="M82" s="97">
        <f>'NEW Summary 1990-2025 GHG'!M3-'NON-ETS &amp; ETS'!M3</f>
        <v>16886.063303967669</v>
      </c>
      <c r="N82" s="97">
        <f>'NEW Summary 1990-2025 GHG'!N3-'NON-ETS &amp; ETS'!N3</f>
        <v>15925.41540612071</v>
      </c>
      <c r="O82" s="97">
        <f>'NEW Summary 1990-2025 GHG'!O3-'NON-ETS &amp; ETS'!O3</f>
        <v>15211.825036455939</v>
      </c>
      <c r="P82" s="97">
        <f>'NEW Summary 1990-2025 GHG'!P3-'NON-ETS &amp; ETS'!P3</f>
        <v>14827.243111807311</v>
      </c>
      <c r="Q82" s="97">
        <f>'NEW Summary 1990-2025 GHG'!Q3-'NON-ETS &amp; ETS'!Q3</f>
        <v>98.37372246680934</v>
      </c>
      <c r="R82" s="97">
        <f>'NEW Summary 1990-2025 GHG'!R3-'NON-ETS &amp; ETS'!R3</f>
        <v>105.34772543243707</v>
      </c>
      <c r="S82" s="97">
        <f>'NEW Summary 1990-2025 GHG'!S3-'NON-ETS &amp; ETS'!S3</f>
        <v>111.35323670322759</v>
      </c>
      <c r="T82" s="97">
        <f>'NEW Summary 1990-2025 GHG'!T3-'NON-ETS &amp; ETS'!T3</f>
        <v>135.12751705559822</v>
      </c>
      <c r="U82" s="97">
        <f>'NEW Summary 1990-2025 GHG'!U3-'NON-ETS &amp; ETS'!U3</f>
        <v>129.90540240390874</v>
      </c>
      <c r="V82" s="97">
        <f>'NEW Summary 1990-2025 GHG'!V3-'NON-ETS &amp; ETS'!V3</f>
        <v>134.92380803747255</v>
      </c>
      <c r="W82" s="97">
        <f>'NEW Summary 1990-2025 GHG'!W3-'NON-ETS &amp; ETS'!W3</f>
        <v>142.88216598910731</v>
      </c>
      <c r="X82" s="97">
        <f>'NEW Summary 1990-2025 GHG'!X3-'NON-ETS &amp; ETS'!X3</f>
        <v>215.93096993039762</v>
      </c>
      <c r="Y82" s="97">
        <f>'NEW Summary 1990-2025 GHG'!Y3-'NON-ETS &amp; ETS'!Y3</f>
        <v>250.54960049812507</v>
      </c>
      <c r="Z82" s="97">
        <f>'NEW Summary 1990-2025 GHG'!Z3-'NON-ETS &amp; ETS'!Z3</f>
        <v>271.17572435643524</v>
      </c>
      <c r="AA82" s="97">
        <f>'NEW Summary 1990-2025 GHG'!AA3-'NON-ETS &amp; ETS'!AA3</f>
        <v>274.79118391641896</v>
      </c>
      <c r="AB82" s="97">
        <f>'NEW Summary 1990-2025 GHG'!AB3-'NON-ETS &amp; ETS'!AB3</f>
        <v>290.92013725935612</v>
      </c>
      <c r="AC82" s="97">
        <f>'NEW Summary 1990-2025 GHG'!AC3-'NON-ETS &amp; ETS'!AC3</f>
        <v>454.35927168490707</v>
      </c>
      <c r="AD82" s="97">
        <f>'NEW Summary 1990-2025 GHG'!AD3-'NON-ETS &amp; ETS'!AD3</f>
        <v>638.24677201974737</v>
      </c>
      <c r="AE82" s="97">
        <f>'NEW Summary 1990-2025 GHG'!AE3-'NON-ETS &amp; ETS'!AE3</f>
        <v>624.22015599362476</v>
      </c>
      <c r="AF82" s="97">
        <f>'NEW Summary 1990-2025 GHG'!AF3-'NON-ETS &amp; ETS'!AF3</f>
        <v>627.47419042110141</v>
      </c>
      <c r="AG82" s="97">
        <f>'NEW Summary 1990-2025 GHG'!AG3-'NON-ETS &amp; ETS'!AG3</f>
        <v>600.31600106071164</v>
      </c>
      <c r="AH82" s="97">
        <f>'NEW Summary 1990-2025 GHG'!AH3-'NON-ETS &amp; ETS'!AH3</f>
        <v>615.66798105960879</v>
      </c>
      <c r="AI82" s="97">
        <f>'NEW Summary 1990-2025 GHG'!AI3-'NON-ETS &amp; ETS'!AI3</f>
        <v>624.46502646834597</v>
      </c>
      <c r="AJ82" s="97">
        <f>'NEW Summary 1990-2025 GHG'!AJ3-'NON-ETS &amp; ETS'!AJ3</f>
        <v>530.9482160902935</v>
      </c>
      <c r="AK82" s="97">
        <f>'NEW Summary 1990-2025 GHG'!AK3-'NON-ETS &amp; ETS'!AK3</f>
        <v>510.78167417766872</v>
      </c>
      <c r="AL82" s="76"/>
      <c r="AM82" s="98">
        <f t="shared" si="8"/>
        <v>-3.7982125754416778E-2</v>
      </c>
      <c r="AO82" s="98">
        <f t="shared" si="9"/>
        <v>4.1922572549798875</v>
      </c>
    </row>
    <row r="83" spans="1:41" outlineLevel="1" x14ac:dyDescent="0.25">
      <c r="A83" s="78" t="s">
        <v>11</v>
      </c>
      <c r="B83" s="97">
        <f>'NEW Summary 1990-2025 GHG'!B4-'NON-ETS &amp; ETS'!B4</f>
        <v>168.66576614807283</v>
      </c>
      <c r="C83" s="97">
        <f>'NEW Summary 1990-2025 GHG'!C4-'NON-ETS &amp; ETS'!C4</f>
        <v>166.7065489871022</v>
      </c>
      <c r="D83" s="97">
        <f>'NEW Summary 1990-2025 GHG'!D4-'NON-ETS &amp; ETS'!D4</f>
        <v>171.81259630137541</v>
      </c>
      <c r="E83" s="97">
        <f>'NEW Summary 1990-2025 GHG'!E4-'NON-ETS &amp; ETS'!E4</f>
        <v>172.64737647267123</v>
      </c>
      <c r="F83" s="97">
        <f>'NEW Summary 1990-2025 GHG'!F4-'NON-ETS &amp; ETS'!F4</f>
        <v>178.26396764899857</v>
      </c>
      <c r="G83" s="97">
        <f>'NEW Summary 1990-2025 GHG'!G4-'NON-ETS &amp; ETS'!G4</f>
        <v>181.26989872689239</v>
      </c>
      <c r="H83" s="97">
        <f>'NEW Summary 1990-2025 GHG'!H4-'NON-ETS &amp; ETS'!H4</f>
        <v>179.40235018283821</v>
      </c>
      <c r="I83" s="97">
        <f>'NEW Summary 1990-2025 GHG'!I4-'NON-ETS &amp; ETS'!I4</f>
        <v>218.74167521279281</v>
      </c>
      <c r="J83" s="97">
        <f>'NEW Summary 1990-2025 GHG'!J4-'NON-ETS &amp; ETS'!J4</f>
        <v>247.81316125481283</v>
      </c>
      <c r="K83" s="97">
        <f>'NEW Summary 1990-2025 GHG'!K4-'NON-ETS &amp; ETS'!K4</f>
        <v>223.85133218924642</v>
      </c>
      <c r="L83" s="97">
        <f>'NEW Summary 1990-2025 GHG'!L4-'NON-ETS &amp; ETS'!L4</f>
        <v>274.79238972801477</v>
      </c>
      <c r="M83" s="97">
        <f>'NEW Summary 1990-2025 GHG'!M4-'NON-ETS &amp; ETS'!M4</f>
        <v>321.4774326173652</v>
      </c>
      <c r="N83" s="97">
        <f>'NEW Summary 1990-2025 GHG'!N4-'NON-ETS &amp; ETS'!N4</f>
        <v>339.73882273997816</v>
      </c>
      <c r="O83" s="97">
        <f>'NEW Summary 1990-2025 GHG'!O4-'NON-ETS &amp; ETS'!O4</f>
        <v>337.57014904780323</v>
      </c>
      <c r="P83" s="97">
        <f>'NEW Summary 1990-2025 GHG'!P4-'NON-ETS &amp; ETS'!P4</f>
        <v>336.64547205054896</v>
      </c>
      <c r="Q83" s="97">
        <f>'NEW Summary 1990-2025 GHG'!Q4-'NON-ETS &amp; ETS'!Q4</f>
        <v>0.62974046887353552</v>
      </c>
      <c r="R83" s="97">
        <f>'NEW Summary 1990-2025 GHG'!R4-'NON-ETS &amp; ETS'!R4</f>
        <v>0.5960613122483096</v>
      </c>
      <c r="S83" s="97">
        <f>'NEW Summary 1990-2025 GHG'!S4-'NON-ETS &amp; ETS'!S4</f>
        <v>0.58111263720076067</v>
      </c>
      <c r="T83" s="97">
        <f>'NEW Summary 1990-2025 GHG'!T4-'NON-ETS &amp; ETS'!T4</f>
        <v>0.56802597351492068</v>
      </c>
      <c r="U83" s="97">
        <f>'NEW Summary 1990-2025 GHG'!U4-'NON-ETS &amp; ETS'!U4</f>
        <v>0.4638167854926678</v>
      </c>
      <c r="V83" s="97">
        <f>'NEW Summary 1990-2025 GHG'!V4-'NON-ETS &amp; ETS'!V4</f>
        <v>0.34912360094619999</v>
      </c>
      <c r="W83" s="97">
        <f>'NEW Summary 1990-2025 GHG'!W4-'NON-ETS &amp; ETS'!W4</f>
        <v>0.30904617919520661</v>
      </c>
      <c r="X83" s="97">
        <f>'NEW Summary 1990-2025 GHG'!X4-'NON-ETS &amp; ETS'!X4</f>
        <v>0.33925840565126464</v>
      </c>
      <c r="Y83" s="97">
        <f>'NEW Summary 1990-2025 GHG'!Y4-'NON-ETS &amp; ETS'!Y4</f>
        <v>0.29681246409023743</v>
      </c>
      <c r="Z83" s="97">
        <f>'NEW Summary 1990-2025 GHG'!Z4-'NON-ETS &amp; ETS'!Z4</f>
        <v>0.28335320982353096</v>
      </c>
      <c r="AA83" s="97">
        <f>'NEW Summary 1990-2025 GHG'!AA4-'NON-ETS &amp; ETS'!AA4</f>
        <v>0.34281316681398266</v>
      </c>
      <c r="AB83" s="97">
        <f>'NEW Summary 1990-2025 GHG'!AB4-'NON-ETS &amp; ETS'!AB4</f>
        <v>0.31067263049482108</v>
      </c>
      <c r="AC83" s="97">
        <f>'NEW Summary 1990-2025 GHG'!AC4-'NON-ETS &amp; ETS'!AC4</f>
        <v>0.3193590768288459</v>
      </c>
      <c r="AD83" s="97">
        <f>'NEW Summary 1990-2025 GHG'!AD4-'NON-ETS &amp; ETS'!AD4</f>
        <v>0.33255080732891429</v>
      </c>
      <c r="AE83" s="97">
        <f>'NEW Summary 1990-2025 GHG'!AE4-'NON-ETS &amp; ETS'!AE4</f>
        <v>0.29193949133798469</v>
      </c>
      <c r="AF83" s="97">
        <f>'NEW Summary 1990-2025 GHG'!AF4-'NON-ETS &amp; ETS'!AF4</f>
        <v>0.34597815709054203</v>
      </c>
      <c r="AG83" s="97">
        <f>'NEW Summary 1990-2025 GHG'!AG4-'NON-ETS &amp; ETS'!AG4</f>
        <v>0.29790076509380015</v>
      </c>
      <c r="AH83" s="97">
        <f>'NEW Summary 1990-2025 GHG'!AH4-'NON-ETS &amp; ETS'!AH4</f>
        <v>0.30042394166076747</v>
      </c>
      <c r="AI83" s="97">
        <f>'NEW Summary 1990-2025 GHG'!AI4-'NON-ETS &amp; ETS'!AI4</f>
        <v>0.28700987070749306</v>
      </c>
      <c r="AJ83" s="97">
        <f>'NEW Summary 1990-2025 GHG'!AJ4-'NON-ETS &amp; ETS'!AJ4</f>
        <v>0.21062559010829318</v>
      </c>
      <c r="AK83" s="97">
        <f>'NEW Summary 1990-2025 GHG'!AK4-'NON-ETS &amp; ETS'!AK4</f>
        <v>0.28338837237765802</v>
      </c>
      <c r="AL83" s="76"/>
      <c r="AM83" s="98">
        <f t="shared" si="8"/>
        <v>0.34546031292756896</v>
      </c>
      <c r="AO83" s="98">
        <f t="shared" si="9"/>
        <v>-0.54999180394968694</v>
      </c>
    </row>
    <row r="84" spans="1:41" outlineLevel="1" x14ac:dyDescent="0.25">
      <c r="A84" s="78" t="s">
        <v>12</v>
      </c>
      <c r="B84" s="97">
        <f>'NEW Summary 1990-2025 GHG'!B5-'NON-ETS &amp; ETS'!B5</f>
        <v>100.50155313962706</v>
      </c>
      <c r="C84" s="97">
        <f>'NEW Summary 1990-2025 GHG'!C5-'NON-ETS &amp; ETS'!C5</f>
        <v>76.521798318537421</v>
      </c>
      <c r="D84" s="97">
        <f>'NEW Summary 1990-2025 GHG'!D5-'NON-ETS &amp; ETS'!D5</f>
        <v>65.248696718657953</v>
      </c>
      <c r="E84" s="97">
        <f>'NEW Summary 1990-2025 GHG'!E5-'NON-ETS &amp; ETS'!E5</f>
        <v>62.580921497495737</v>
      </c>
      <c r="F84" s="97">
        <f>'NEW Summary 1990-2025 GHG'!F5-'NON-ETS &amp; ETS'!F5</f>
        <v>72.124547859586968</v>
      </c>
      <c r="G84" s="97">
        <f>'NEW Summary 1990-2025 GHG'!G5-'NON-ETS &amp; ETS'!G5</f>
        <v>69.416055852539159</v>
      </c>
      <c r="H84" s="97">
        <f>'NEW Summary 1990-2025 GHG'!H5-'NON-ETS &amp; ETS'!H5</f>
        <v>72.192983164692251</v>
      </c>
      <c r="I84" s="97">
        <f>'NEW Summary 1990-2025 GHG'!I5-'NON-ETS &amp; ETS'!I5</f>
        <v>51.630718857133267</v>
      </c>
      <c r="J84" s="97">
        <f>'NEW Summary 1990-2025 GHG'!J5-'NON-ETS &amp; ETS'!J5</f>
        <v>79.925701143911269</v>
      </c>
      <c r="K84" s="97">
        <f>'NEW Summary 1990-2025 GHG'!K5-'NON-ETS &amp; ETS'!K5</f>
        <v>77.909665302192224</v>
      </c>
      <c r="L84" s="97">
        <f>'NEW Summary 1990-2025 GHG'!L5-'NON-ETS &amp; ETS'!L5</f>
        <v>87.117956156431376</v>
      </c>
      <c r="M84" s="97">
        <f>'NEW Summary 1990-2025 GHG'!M5-'NON-ETS &amp; ETS'!M5</f>
        <v>118.79933728930295</v>
      </c>
      <c r="N84" s="97">
        <f>'NEW Summary 1990-2025 GHG'!N5-'NON-ETS &amp; ETS'!N5</f>
        <v>145.54644121649875</v>
      </c>
      <c r="O84" s="97">
        <f>'NEW Summary 1990-2025 GHG'!O5-'NON-ETS &amp; ETS'!O5</f>
        <v>165.9685384656606</v>
      </c>
      <c r="P84" s="97">
        <f>'NEW Summary 1990-2025 GHG'!P5-'NON-ETS &amp; ETS'!P5</f>
        <v>162.18222796494013</v>
      </c>
      <c r="Q84" s="97">
        <f>'NEW Summary 1990-2025 GHG'!Q5-'NON-ETS &amp; ETS'!Q5</f>
        <v>2.4113757278541925E-2</v>
      </c>
      <c r="R84" s="97">
        <f>'NEW Summary 1990-2025 GHG'!R5-'NON-ETS &amp; ETS'!R5</f>
        <v>0.1034283724434033</v>
      </c>
      <c r="S84" s="97">
        <f>'NEW Summary 1990-2025 GHG'!S5-'NON-ETS &amp; ETS'!S5</f>
        <v>-0.12894506308151676</v>
      </c>
      <c r="T84" s="97">
        <f>'NEW Summary 1990-2025 GHG'!T5-'NON-ETS &amp; ETS'!T5</f>
        <v>0.53557165010914787</v>
      </c>
      <c r="U84" s="97">
        <f>'NEW Summary 1990-2025 GHG'!U5-'NON-ETS &amp; ETS'!U5</f>
        <v>0.63599688764179518</v>
      </c>
      <c r="V84" s="97">
        <f>'NEW Summary 1990-2025 GHG'!V5-'NON-ETS &amp; ETS'!V5</f>
        <v>0.57394016412035853</v>
      </c>
      <c r="W84" s="97">
        <f>'NEW Summary 1990-2025 GHG'!W5-'NON-ETS &amp; ETS'!W5</f>
        <v>0.41623213149398453</v>
      </c>
      <c r="X84" s="97">
        <f>'NEW Summary 1990-2025 GHG'!X5-'NON-ETS &amp; ETS'!X5</f>
        <v>0.45635697685435161</v>
      </c>
      <c r="Y84" s="97">
        <f>'NEW Summary 1990-2025 GHG'!Y5-'NON-ETS &amp; ETS'!Y5</f>
        <v>0.52869996109257045</v>
      </c>
      <c r="Z84" s="97">
        <f>'NEW Summary 1990-2025 GHG'!Z5-'NON-ETS &amp; ETS'!Z5</f>
        <v>0.43563748086700116</v>
      </c>
      <c r="AA84" s="97">
        <f>'NEW Summary 1990-2025 GHG'!AA5-'NON-ETS &amp; ETS'!AA5</f>
        <v>11.123610216516909</v>
      </c>
      <c r="AB84" s="97">
        <f>'NEW Summary 1990-2025 GHG'!AB5-'NON-ETS &amp; ETS'!AB5</f>
        <v>0.42030284359499603</v>
      </c>
      <c r="AC84" s="97">
        <f>'NEW Summary 1990-2025 GHG'!AC5-'NON-ETS &amp; ETS'!AC5</f>
        <v>0.91353652765857873</v>
      </c>
      <c r="AD84" s="97">
        <f>'NEW Summary 1990-2025 GHG'!AD5-'NON-ETS &amp; ETS'!AD5</f>
        <v>0.34941480362093102</v>
      </c>
      <c r="AE84" s="97">
        <f>'NEW Summary 1990-2025 GHG'!AE5-'NON-ETS &amp; ETS'!AE5</f>
        <v>0.29562713580324385</v>
      </c>
      <c r="AF84" s="97">
        <f>'NEW Summary 1990-2025 GHG'!AF5-'NON-ETS &amp; ETS'!AF5</f>
        <v>0.29541629515485113</v>
      </c>
      <c r="AG84" s="97">
        <f>'NEW Summary 1990-2025 GHG'!AG5-'NON-ETS &amp; ETS'!AG5</f>
        <v>0.30188683532394123</v>
      </c>
      <c r="AH84" s="97">
        <f>'NEW Summary 1990-2025 GHG'!AH5-'NON-ETS &amp; ETS'!AH5</f>
        <v>0.24779042493707948</v>
      </c>
      <c r="AI84" s="97">
        <f>'NEW Summary 1990-2025 GHG'!AI5-'NON-ETS &amp; ETS'!AI5</f>
        <v>0.11813174531785364</v>
      </c>
      <c r="AJ84" s="97">
        <f>'NEW Summary 1990-2025 GHG'!AJ5-'NON-ETS &amp; ETS'!AJ5</f>
        <v>4.4363188796925357E-3</v>
      </c>
      <c r="AK84" s="97">
        <f>'NEW Summary 1990-2025 GHG'!AK5-'NON-ETS &amp; ETS'!AK5</f>
        <v>3.2802635513414558E-2</v>
      </c>
      <c r="AL84" s="76"/>
      <c r="AM84" s="98">
        <f t="shared" si="8"/>
        <v>6.3941112897835657</v>
      </c>
      <c r="AO84" s="98">
        <f t="shared" si="9"/>
        <v>0.36032867605433649</v>
      </c>
    </row>
    <row r="85" spans="1:41" outlineLevel="1" x14ac:dyDescent="0.25">
      <c r="A85" s="78" t="s">
        <v>13</v>
      </c>
      <c r="B85" s="97">
        <f>'NEW Summary 1990-2025 GHG'!B6-'NON-ETS &amp; ETS'!B6</f>
        <v>99.290162309600177</v>
      </c>
      <c r="C85" s="97">
        <f>'NEW Summary 1990-2025 GHG'!C6-'NON-ETS &amp; ETS'!C6</f>
        <v>88.30804556053198</v>
      </c>
      <c r="D85" s="97">
        <f>'NEW Summary 1990-2025 GHG'!D6-'NON-ETS &amp; ETS'!D6</f>
        <v>83.224456927963587</v>
      </c>
      <c r="E85" s="97">
        <f>'NEW Summary 1990-2025 GHG'!E6-'NON-ETS &amp; ETS'!E6</f>
        <v>84.79520850359529</v>
      </c>
      <c r="F85" s="97">
        <f>'NEW Summary 1990-2025 GHG'!F6-'NON-ETS &amp; ETS'!F6</f>
        <v>82.92090005832415</v>
      </c>
      <c r="G85" s="97">
        <f>'NEW Summary 1990-2025 GHG'!G6-'NON-ETS &amp; ETS'!G6</f>
        <v>82.066652828314162</v>
      </c>
      <c r="H85" s="97">
        <f>'NEW Summary 1990-2025 GHG'!H6-'NON-ETS &amp; ETS'!H6</f>
        <v>79.475588501616272</v>
      </c>
      <c r="I85" s="97">
        <f>'NEW Summary 1990-2025 GHG'!I6-'NON-ETS &amp; ETS'!I6</f>
        <v>76.102769122644148</v>
      </c>
      <c r="J85" s="97">
        <f>'NEW Summary 1990-2025 GHG'!J6-'NON-ETS &amp; ETS'!J6</f>
        <v>61.124745558104451</v>
      </c>
      <c r="K85" s="97">
        <f>'NEW Summary 1990-2025 GHG'!K6-'NON-ETS &amp; ETS'!K6</f>
        <v>98.913749939294988</v>
      </c>
      <c r="L85" s="97">
        <f>'NEW Summary 1990-2025 GHG'!L6-'NON-ETS &amp; ETS'!L6</f>
        <v>59.524046731063578</v>
      </c>
      <c r="M85" s="97">
        <f>'NEW Summary 1990-2025 GHG'!M6-'NON-ETS &amp; ETS'!M6</f>
        <v>129.26790740127467</v>
      </c>
      <c r="N85" s="97">
        <f>'NEW Summary 1990-2025 GHG'!N6-'NON-ETS &amp; ETS'!N6</f>
        <v>47.232254723620571</v>
      </c>
      <c r="O85" s="97">
        <f>'NEW Summary 1990-2025 GHG'!O6-'NON-ETS &amp; ETS'!O6</f>
        <v>794.9511163532236</v>
      </c>
      <c r="P85" s="97">
        <f>'NEW Summary 1990-2025 GHG'!P6-'NON-ETS &amp; ETS'!P6</f>
        <v>53.107251298374649</v>
      </c>
      <c r="Q85" s="97">
        <f>'NEW Summary 1990-2025 GHG'!Q6-'NON-ETS &amp; ETS'!Q6</f>
        <v>45.158845818261014</v>
      </c>
      <c r="R85" s="97">
        <f>'NEW Summary 1990-2025 GHG'!R6-'NON-ETS &amp; ETS'!R6</f>
        <v>53.803041931486064</v>
      </c>
      <c r="S85" s="97">
        <f>'NEW Summary 1990-2025 GHG'!S6-'NON-ETS &amp; ETS'!S6</f>
        <v>59.434002145769263</v>
      </c>
      <c r="T85" s="97">
        <f>'NEW Summary 1990-2025 GHG'!T6-'NON-ETS &amp; ETS'!T6</f>
        <v>50.407538735906748</v>
      </c>
      <c r="U85" s="97">
        <f>'NEW Summary 1990-2025 GHG'!U6-'NON-ETS &amp; ETS'!U6</f>
        <v>47.060824884864267</v>
      </c>
      <c r="V85" s="97">
        <f>'NEW Summary 1990-2025 GHG'!V6-'NON-ETS &amp; ETS'!V6</f>
        <v>48.555754508440899</v>
      </c>
      <c r="W85" s="97">
        <f>'NEW Summary 1990-2025 GHG'!W6-'NON-ETS &amp; ETS'!W6</f>
        <v>46.389632347206323</v>
      </c>
      <c r="X85" s="97">
        <f>'NEW Summary 1990-2025 GHG'!X6-'NON-ETS &amp; ETS'!X6</f>
        <v>45.593472378675465</v>
      </c>
      <c r="Y85" s="97">
        <f>'NEW Summary 1990-2025 GHG'!Y6-'NON-ETS &amp; ETS'!Y6</f>
        <v>44.813043493818348</v>
      </c>
      <c r="Z85" s="97">
        <f>'NEW Summary 1990-2025 GHG'!Z6-'NON-ETS &amp; ETS'!Z6</f>
        <v>91.292618237028904</v>
      </c>
      <c r="AA85" s="97">
        <f>'NEW Summary 1990-2025 GHG'!AA6-'NON-ETS &amp; ETS'!AA6</f>
        <v>33.393539900006992</v>
      </c>
      <c r="AB85" s="97">
        <f>'NEW Summary 1990-2025 GHG'!AB6-'NON-ETS &amp; ETS'!AB6</f>
        <v>42.838629872410891</v>
      </c>
      <c r="AC85" s="97">
        <f>'NEW Summary 1990-2025 GHG'!AC6-'NON-ETS &amp; ETS'!AC6</f>
        <v>40.289665401159716</v>
      </c>
      <c r="AD85" s="97">
        <f>'NEW Summary 1990-2025 GHG'!AD6-'NON-ETS &amp; ETS'!AD6</f>
        <v>50.271311999303634</v>
      </c>
      <c r="AE85" s="97">
        <f>'NEW Summary 1990-2025 GHG'!AE6-'NON-ETS &amp; ETS'!AE6</f>
        <v>44.184296412860519</v>
      </c>
      <c r="AF85" s="97">
        <f>'NEW Summary 1990-2025 GHG'!AF6-'NON-ETS &amp; ETS'!AF6</f>
        <v>44.499123229560261</v>
      </c>
      <c r="AG85" s="97">
        <f>'NEW Summary 1990-2025 GHG'!AG6-'NON-ETS &amp; ETS'!AG6</f>
        <v>33.252499392582706</v>
      </c>
      <c r="AH85" s="97">
        <f>'NEW Summary 1990-2025 GHG'!AH6-'NON-ETS &amp; ETS'!AH6</f>
        <v>31.487408170358773</v>
      </c>
      <c r="AI85" s="97">
        <f>'NEW Summary 1990-2025 GHG'!AI6-'NON-ETS &amp; ETS'!AI6</f>
        <v>30.869066025151557</v>
      </c>
      <c r="AJ85" s="97">
        <f>'NEW Summary 1990-2025 GHG'!AJ6-'NON-ETS &amp; ETS'!AJ6</f>
        <v>39.186411963327394</v>
      </c>
      <c r="AK85" s="97">
        <f>'NEW Summary 1990-2025 GHG'!AK6-'NON-ETS &amp; ETS'!AK6</f>
        <v>33.96300275995597</v>
      </c>
      <c r="AL85" s="76"/>
      <c r="AM85" s="98">
        <f t="shared" si="8"/>
        <v>-0.13329643980315811</v>
      </c>
      <c r="AO85" s="98">
        <f t="shared" si="9"/>
        <v>-0.24792137299881453</v>
      </c>
    </row>
    <row r="86" spans="1:41" x14ac:dyDescent="0.25">
      <c r="A86" s="82" t="s">
        <v>14</v>
      </c>
      <c r="B86" s="75">
        <f>'NEW Summary 1990-2025 GHG'!B7-'NON-ETS &amp; ETS'!B7</f>
        <v>7569.7124798227551</v>
      </c>
      <c r="C86" s="75">
        <f>'NEW Summary 1990-2025 GHG'!C7-'NON-ETS &amp; ETS'!C7</f>
        <v>7474.0514044750162</v>
      </c>
      <c r="D86" s="75">
        <f>'NEW Summary 1990-2025 GHG'!D7-'NON-ETS &amp; ETS'!D7</f>
        <v>6677.7297275480641</v>
      </c>
      <c r="E86" s="75">
        <f>'NEW Summary 1990-2025 GHG'!E7-'NON-ETS &amp; ETS'!E7</f>
        <v>6676.3113380345594</v>
      </c>
      <c r="F86" s="75">
        <f>'NEW Summary 1990-2025 GHG'!F7-'NON-ETS &amp; ETS'!F7</f>
        <v>6579.3245874862178</v>
      </c>
      <c r="G86" s="75">
        <f>'NEW Summary 1990-2025 GHG'!G7-'NON-ETS &amp; ETS'!G7</f>
        <v>6407.1463332892217</v>
      </c>
      <c r="H86" s="75">
        <f>'NEW Summary 1990-2025 GHG'!H7-'NON-ETS &amp; ETS'!H7</f>
        <v>6768.3804271259223</v>
      </c>
      <c r="I86" s="75">
        <f>'NEW Summary 1990-2025 GHG'!I7-'NON-ETS &amp; ETS'!I7</f>
        <v>6517.5882400729042</v>
      </c>
      <c r="J86" s="75">
        <f>'NEW Summary 1990-2025 GHG'!J7-'NON-ETS &amp; ETS'!J7</f>
        <v>7096.3923746662886</v>
      </c>
      <c r="K86" s="75">
        <f>'NEW Summary 1990-2025 GHG'!K7-'NON-ETS &amp; ETS'!K7</f>
        <v>6840.9270729627233</v>
      </c>
      <c r="L86" s="75">
        <f>'NEW Summary 1990-2025 GHG'!L7-'NON-ETS &amp; ETS'!L7</f>
        <v>6943.6446449057967</v>
      </c>
      <c r="M86" s="75">
        <f>'NEW Summary 1990-2025 GHG'!M7-'NON-ETS &amp; ETS'!M7</f>
        <v>7299.7801866056707</v>
      </c>
      <c r="N86" s="75">
        <f>'NEW Summary 1990-2025 GHG'!N7-'NON-ETS &amp; ETS'!N7</f>
        <v>7316.6648236510082</v>
      </c>
      <c r="O86" s="75">
        <f>'NEW Summary 1990-2025 GHG'!O7-'NON-ETS &amp; ETS'!O7</f>
        <v>7556.498080075311</v>
      </c>
      <c r="P86" s="75">
        <f>'NEW Summary 1990-2025 GHG'!P7-'NON-ETS &amp; ETS'!P7</f>
        <v>7724.5242980131015</v>
      </c>
      <c r="Q86" s="75">
        <f>'NEW Summary 1990-2025 GHG'!Q7-'NON-ETS &amp; ETS'!Q7</f>
        <v>8151.9814411342359</v>
      </c>
      <c r="R86" s="75">
        <f>'NEW Summary 1990-2025 GHG'!R7-'NON-ETS &amp; ETS'!R7</f>
        <v>8029.9685101418772</v>
      </c>
      <c r="S86" s="75">
        <f>'NEW Summary 1990-2025 GHG'!S7-'NON-ETS &amp; ETS'!S7</f>
        <v>7871.8168420746752</v>
      </c>
      <c r="T86" s="75">
        <f>'NEW Summary 1990-2025 GHG'!T7-'NON-ETS &amp; ETS'!T7</f>
        <v>8660.181136123947</v>
      </c>
      <c r="U86" s="75">
        <f>'NEW Summary 1990-2025 GHG'!U7-'NON-ETS &amp; ETS'!U7</f>
        <v>8538.1153576946745</v>
      </c>
      <c r="V86" s="75">
        <f>'NEW Summary 1990-2025 GHG'!V7-'NON-ETS &amp; ETS'!V7</f>
        <v>8855.433209313027</v>
      </c>
      <c r="W86" s="75">
        <f>'NEW Summary 1990-2025 GHG'!W7-'NON-ETS &amp; ETS'!W7</f>
        <v>7629.7194176636076</v>
      </c>
      <c r="X86" s="75">
        <f>'NEW Summary 1990-2025 GHG'!X7-'NON-ETS &amp; ETS'!X7</f>
        <v>7147.388466027287</v>
      </c>
      <c r="Y86" s="75">
        <f>'NEW Summary 1990-2025 GHG'!Y7-'NON-ETS &amp; ETS'!Y7</f>
        <v>6939.97722702997</v>
      </c>
      <c r="Z86" s="75">
        <f>'NEW Summary 1990-2025 GHG'!Z7-'NON-ETS &amp; ETS'!Z7</f>
        <v>6245.7821397262342</v>
      </c>
      <c r="AA86" s="75">
        <f>'NEW Summary 1990-2025 GHG'!AA7-'NON-ETS &amp; ETS'!AA7</f>
        <v>6641.2571316932199</v>
      </c>
      <c r="AB86" s="75">
        <f>'NEW Summary 1990-2025 GHG'!AB7-'NON-ETS &amp; ETS'!AB7</f>
        <v>6889.0510079993564</v>
      </c>
      <c r="AC86" s="75">
        <f>'NEW Summary 1990-2025 GHG'!AC7-'NON-ETS &amp; ETS'!AC7</f>
        <v>6331.1002822400478</v>
      </c>
      <c r="AD86" s="75">
        <f>'NEW Summary 1990-2025 GHG'!AD7-'NON-ETS &amp; ETS'!AD7</f>
        <v>6823.5957184152885</v>
      </c>
      <c r="AE86" s="75">
        <f>'NEW Summary 1990-2025 GHG'!AE7-'NON-ETS &amp; ETS'!AE7</f>
        <v>6546.4494481728379</v>
      </c>
      <c r="AF86" s="75">
        <f>'NEW Summary 1990-2025 GHG'!AF7-'NON-ETS &amp; ETS'!AF7</f>
        <v>7192.2701968693018</v>
      </c>
      <c r="AG86" s="75">
        <f>'NEW Summary 1990-2025 GHG'!AG7-'NON-ETS &amp; ETS'!AG7</f>
        <v>6709.3212480257052</v>
      </c>
      <c r="AH86" s="75">
        <f>'NEW Summary 1990-2025 GHG'!AH7-'NON-ETS &amp; ETS'!AH7</f>
        <v>5621.4616126785768</v>
      </c>
      <c r="AI86" s="75">
        <f>'NEW Summary 1990-2025 GHG'!AI7-'NON-ETS &amp; ETS'!AI7</f>
        <v>5230.0164671887314</v>
      </c>
      <c r="AJ86" s="75">
        <f>'NEW Summary 1990-2025 GHG'!AJ7-'NON-ETS &amp; ETS'!AJ7</f>
        <v>5485.8889892812058</v>
      </c>
      <c r="AK86" s="75">
        <f>'NEW Summary 1990-2025 GHG'!AK7-'NON-ETS &amp; ETS'!AK7</f>
        <v>5211.7931715401201</v>
      </c>
      <c r="AL86" s="76"/>
      <c r="AM86" s="77">
        <f t="shared" si="8"/>
        <v>-4.996379224527462E-2</v>
      </c>
      <c r="AO86" s="77">
        <f t="shared" si="9"/>
        <v>-0.36067160981968932</v>
      </c>
    </row>
    <row r="87" spans="1:41" x14ac:dyDescent="0.25">
      <c r="A87" s="82" t="s">
        <v>15</v>
      </c>
      <c r="B87" s="75">
        <f>'NEW Summary 1990-2025 GHG'!B8-'NON-ETS &amp; ETS'!B8</f>
        <v>4093.5373960846191</v>
      </c>
      <c r="C87" s="75">
        <f>'NEW Summary 1990-2025 GHG'!C8-'NON-ETS &amp; ETS'!C8</f>
        <v>4390.2661752826825</v>
      </c>
      <c r="D87" s="75">
        <f>'NEW Summary 1990-2025 GHG'!D8-'NON-ETS &amp; ETS'!D8</f>
        <v>4068.9024982744181</v>
      </c>
      <c r="E87" s="75">
        <f>'NEW Summary 1990-2025 GHG'!E8-'NON-ETS &amp; ETS'!E8</f>
        <v>4276.3611882099631</v>
      </c>
      <c r="F87" s="75">
        <f>'NEW Summary 1990-2025 GHG'!F8-'NON-ETS &amp; ETS'!F8</f>
        <v>4544.7410305683798</v>
      </c>
      <c r="G87" s="75">
        <f>'NEW Summary 1990-2025 GHG'!G8-'NON-ETS &amp; ETS'!G8</f>
        <v>4567.6209369101471</v>
      </c>
      <c r="H87" s="75">
        <f>'NEW Summary 1990-2025 GHG'!H8-'NON-ETS &amp; ETS'!H8</f>
        <v>4410.5548738409234</v>
      </c>
      <c r="I87" s="75">
        <f>'NEW Summary 1990-2025 GHG'!I8-'NON-ETS &amp; ETS'!I8</f>
        <v>4761.1518830549567</v>
      </c>
      <c r="J87" s="75">
        <f>'NEW Summary 1990-2025 GHG'!J8-'NON-ETS &amp; ETS'!J8</f>
        <v>4740.5683505815678</v>
      </c>
      <c r="K87" s="75">
        <f>'NEW Summary 1990-2025 GHG'!K8-'NON-ETS &amp; ETS'!K8</f>
        <v>4922.6505470164248</v>
      </c>
      <c r="L87" s="75">
        <f>'NEW Summary 1990-2025 GHG'!L8-'NON-ETS &amp; ETS'!L8</f>
        <v>5706.0346076375372</v>
      </c>
      <c r="M87" s="75">
        <f>'NEW Summary 1990-2025 GHG'!M8-'NON-ETS &amp; ETS'!M8</f>
        <v>5678.8909288540326</v>
      </c>
      <c r="N87" s="75">
        <f>'NEW Summary 1990-2025 GHG'!N8-'NON-ETS &amp; ETS'!N8</f>
        <v>5345.234219032106</v>
      </c>
      <c r="O87" s="75">
        <f>'NEW Summary 1990-2025 GHG'!O8-'NON-ETS &amp; ETS'!O8</f>
        <v>5459.8276375754558</v>
      </c>
      <c r="P87" s="75">
        <f>'NEW Summary 1990-2025 GHG'!P8-'NON-ETS &amp; ETS'!P8</f>
        <v>5524.2452660336039</v>
      </c>
      <c r="Q87" s="75">
        <f>'NEW Summary 1990-2025 GHG'!Q8-'NON-ETS &amp; ETS'!Q8</f>
        <v>1610.8464080374906</v>
      </c>
      <c r="R87" s="75">
        <f>'NEW Summary 1990-2025 GHG'!R8-'NON-ETS &amp; ETS'!R8</f>
        <v>1326.9100077215935</v>
      </c>
      <c r="S87" s="75">
        <f>'NEW Summary 1990-2025 GHG'!S8-'NON-ETS &amp; ETS'!S8</f>
        <v>1403.6120535288128</v>
      </c>
      <c r="T87" s="75">
        <f>'NEW Summary 1990-2025 GHG'!T8-'NON-ETS &amp; ETS'!T8</f>
        <v>1869.9422764487354</v>
      </c>
      <c r="U87" s="75">
        <f>'NEW Summary 1990-2025 GHG'!U8-'NON-ETS &amp; ETS'!U8</f>
        <v>1614.4771424351275</v>
      </c>
      <c r="V87" s="75">
        <f>'NEW Summary 1990-2025 GHG'!V8-'NON-ETS &amp; ETS'!V8</f>
        <v>1486.3938556831758</v>
      </c>
      <c r="W87" s="75">
        <f>'NEW Summary 1990-2025 GHG'!W8-'NON-ETS &amp; ETS'!W8</f>
        <v>1114.9935336866488</v>
      </c>
      <c r="X87" s="75">
        <f>'NEW Summary 1990-2025 GHG'!X8-'NON-ETS &amp; ETS'!X8</f>
        <v>1098.7760784611246</v>
      </c>
      <c r="Y87" s="75">
        <f>'NEW Summary 1990-2025 GHG'!Y8-'NON-ETS &amp; ETS'!Y8</f>
        <v>993.46185098472824</v>
      </c>
      <c r="Z87" s="75">
        <f>'NEW Summary 1990-2025 GHG'!Z8-'NON-ETS &amp; ETS'!Z8</f>
        <v>904.43718239294594</v>
      </c>
      <c r="AA87" s="75">
        <f>'NEW Summary 1990-2025 GHG'!AA8-'NON-ETS &amp; ETS'!AA8</f>
        <v>939.40022475661544</v>
      </c>
      <c r="AB87" s="75">
        <f>'NEW Summary 1990-2025 GHG'!AB8-'NON-ETS &amp; ETS'!AB8</f>
        <v>1003.2865270131265</v>
      </c>
      <c r="AC87" s="75">
        <f>'NEW Summary 1990-2025 GHG'!AC8-'NON-ETS &amp; ETS'!AC8</f>
        <v>1174.1936543693123</v>
      </c>
      <c r="AD87" s="75">
        <f>'NEW Summary 1990-2025 GHG'!AD8-'NON-ETS &amp; ETS'!AD8</f>
        <v>1312.3630162285399</v>
      </c>
      <c r="AE87" s="75">
        <f>'NEW Summary 1990-2025 GHG'!AE8-'NON-ETS &amp; ETS'!AE8</f>
        <v>1312.5248320094829</v>
      </c>
      <c r="AF87" s="75">
        <f>'NEW Summary 1990-2025 GHG'!AF8-'NON-ETS &amp; ETS'!AF8</f>
        <v>1409.2685311257228</v>
      </c>
      <c r="AG87" s="75">
        <f>'NEW Summary 1990-2025 GHG'!AG8-'NON-ETS &amp; ETS'!AG8</f>
        <v>1293.3368731627679</v>
      </c>
      <c r="AH87" s="75">
        <f>'NEW Summary 1990-2025 GHG'!AH8-'NON-ETS &amp; ETS'!AH8</f>
        <v>1280.4629348837689</v>
      </c>
      <c r="AI87" s="75">
        <f>'NEW Summary 1990-2025 GHG'!AI8-'NON-ETS &amp; ETS'!AI8</f>
        <v>1251.2714932521349</v>
      </c>
      <c r="AJ87" s="75">
        <f>'NEW Summary 1990-2025 GHG'!AJ8-'NON-ETS &amp; ETS'!AJ8</f>
        <v>1300.575760336616</v>
      </c>
      <c r="AK87" s="75">
        <f>'NEW Summary 1990-2025 GHG'!AK8-'NON-ETS &amp; ETS'!AK8</f>
        <v>1218.1400724232635</v>
      </c>
      <c r="AL87" s="76"/>
      <c r="AM87" s="77">
        <f t="shared" si="8"/>
        <v>-6.3383995325283007E-2</v>
      </c>
      <c r="AO87" s="77">
        <f t="shared" si="9"/>
        <v>-0.24378881416302436</v>
      </c>
    </row>
    <row r="88" spans="1:41" x14ac:dyDescent="0.25">
      <c r="A88" s="82" t="s">
        <v>16</v>
      </c>
      <c r="B88" s="75">
        <f>'NEW Summary 1990-2025 GHG'!B9-'NON-ETS &amp; ETS'!B9</f>
        <v>1009.6756971444248</v>
      </c>
      <c r="C88" s="75">
        <f>'NEW Summary 1990-2025 GHG'!C9-'NON-ETS &amp; ETS'!C9</f>
        <v>1028.1453889225793</v>
      </c>
      <c r="D88" s="75">
        <f>'NEW Summary 1990-2025 GHG'!D9-'NON-ETS &amp; ETS'!D9</f>
        <v>1022.4598932800901</v>
      </c>
      <c r="E88" s="75">
        <f>'NEW Summary 1990-2025 GHG'!E9-'NON-ETS &amp; ETS'!E9</f>
        <v>1010.1610259474754</v>
      </c>
      <c r="F88" s="75">
        <f>'NEW Summary 1990-2025 GHG'!F9-'NON-ETS &amp; ETS'!F9</f>
        <v>1101.6563749788943</v>
      </c>
      <c r="G88" s="75">
        <f>'NEW Summary 1990-2025 GHG'!G9-'NON-ETS &amp; ETS'!G9</f>
        <v>1080.3861575994138</v>
      </c>
      <c r="H88" s="75">
        <f>'NEW Summary 1990-2025 GHG'!H9-'NON-ETS &amp; ETS'!H9</f>
        <v>975.88793579256696</v>
      </c>
      <c r="I88" s="75">
        <f>'NEW Summary 1990-2025 GHG'!I9-'NON-ETS &amp; ETS'!I9</f>
        <v>984.03645698064906</v>
      </c>
      <c r="J88" s="75">
        <f>'NEW Summary 1990-2025 GHG'!J9-'NON-ETS &amp; ETS'!J9</f>
        <v>970.80526341945574</v>
      </c>
      <c r="K88" s="75">
        <f>'NEW Summary 1990-2025 GHG'!K9-'NON-ETS &amp; ETS'!K9</f>
        <v>1004.1844922672158</v>
      </c>
      <c r="L88" s="75">
        <f>'NEW Summary 1990-2025 GHG'!L9-'NON-ETS &amp; ETS'!L9</f>
        <v>1030.0912977928751</v>
      </c>
      <c r="M88" s="75">
        <f>'NEW Summary 1990-2025 GHG'!M9-'NON-ETS &amp; ETS'!M9</f>
        <v>1020.4485506437919</v>
      </c>
      <c r="N88" s="75">
        <f>'NEW Summary 1990-2025 GHG'!N9-'NON-ETS &amp; ETS'!N9</f>
        <v>986.75159967082038</v>
      </c>
      <c r="O88" s="75">
        <f>'NEW Summary 1990-2025 GHG'!O9-'NON-ETS &amp; ETS'!O9</f>
        <v>1084.8920482063729</v>
      </c>
      <c r="P88" s="75">
        <f>'NEW Summary 1990-2025 GHG'!P9-'NON-ETS &amp; ETS'!P9</f>
        <v>1052.7720089768072</v>
      </c>
      <c r="Q88" s="75">
        <f>'NEW Summary 1990-2025 GHG'!Q9-'NON-ETS &amp; ETS'!Q9</f>
        <v>1021.3049481197587</v>
      </c>
      <c r="R88" s="75">
        <f>'NEW Summary 1990-2025 GHG'!R9-'NON-ETS &amp; ETS'!R9</f>
        <v>1016.7302094769949</v>
      </c>
      <c r="S88" s="75">
        <f>'NEW Summary 1990-2025 GHG'!S9-'NON-ETS &amp; ETS'!S9</f>
        <v>1007.8924866263586</v>
      </c>
      <c r="T88" s="75">
        <f>'NEW Summary 1990-2025 GHG'!T9-'NON-ETS &amp; ETS'!T9</f>
        <v>1093.0212172940057</v>
      </c>
      <c r="U88" s="75">
        <f>'NEW Summary 1990-2025 GHG'!U9-'NON-ETS &amp; ETS'!U9</f>
        <v>860.19712223076453</v>
      </c>
      <c r="V88" s="75">
        <f>'NEW Summary 1990-2025 GHG'!V9-'NON-ETS &amp; ETS'!V9</f>
        <v>950.59572110386273</v>
      </c>
      <c r="W88" s="75">
        <f>'NEW Summary 1990-2025 GHG'!W9-'NON-ETS &amp; ETS'!W9</f>
        <v>870.72334144272384</v>
      </c>
      <c r="X88" s="75">
        <f>'NEW Summary 1990-2025 GHG'!X9-'NON-ETS &amp; ETS'!X9</f>
        <v>900.85645758728754</v>
      </c>
      <c r="Y88" s="75">
        <f>'NEW Summary 1990-2025 GHG'!Y9-'NON-ETS &amp; ETS'!Y9</f>
        <v>902.06859900643269</v>
      </c>
      <c r="Z88" s="75">
        <f>'NEW Summary 1990-2025 GHG'!Z9-'NON-ETS &amp; ETS'!Z9</f>
        <v>839.98068863162166</v>
      </c>
      <c r="AA88" s="75">
        <f>'NEW Summary 1990-2025 GHG'!AA9-'NON-ETS &amp; ETS'!AA9</f>
        <v>899.47750828686401</v>
      </c>
      <c r="AB88" s="75">
        <f>'NEW Summary 1990-2025 GHG'!AB9-'NON-ETS &amp; ETS'!AB9</f>
        <v>828.65060916322784</v>
      </c>
      <c r="AC88" s="75">
        <f>'NEW Summary 1990-2025 GHG'!AC9-'NON-ETS &amp; ETS'!AC9</f>
        <v>754.99242113940954</v>
      </c>
      <c r="AD88" s="75">
        <f>'NEW Summary 1990-2025 GHG'!AD9-'NON-ETS &amp; ETS'!AD9</f>
        <v>803.11767842751271</v>
      </c>
      <c r="AE88" s="75">
        <f>'NEW Summary 1990-2025 GHG'!AE9-'NON-ETS &amp; ETS'!AE9</f>
        <v>757.91230067687161</v>
      </c>
      <c r="AF88" s="75">
        <f>'NEW Summary 1990-2025 GHG'!AF9-'NON-ETS &amp; ETS'!AF9</f>
        <v>611.45184306041313</v>
      </c>
      <c r="AG88" s="75">
        <f>'NEW Summary 1990-2025 GHG'!AG9-'NON-ETS &amp; ETS'!AG9</f>
        <v>665.33706575755627</v>
      </c>
      <c r="AH88" s="75">
        <f>'NEW Summary 1990-2025 GHG'!AH9-'NON-ETS &amp; ETS'!AH9</f>
        <v>640.78148392222283</v>
      </c>
      <c r="AI88" s="75">
        <f>'NEW Summary 1990-2025 GHG'!AI9-'NON-ETS &amp; ETS'!AI9</f>
        <v>670.08971394227331</v>
      </c>
      <c r="AJ88" s="75">
        <f>'NEW Summary 1990-2025 GHG'!AJ9-'NON-ETS &amp; ETS'!AJ9</f>
        <v>696.36025924936814</v>
      </c>
      <c r="AK88" s="75">
        <f>'NEW Summary 1990-2025 GHG'!AK9-'NON-ETS &amp; ETS'!AK9</f>
        <v>690.92811378369652</v>
      </c>
      <c r="AL88" s="76"/>
      <c r="AM88" s="77">
        <f t="shared" si="8"/>
        <v>-7.8007689174094024E-3</v>
      </c>
      <c r="AO88" s="77">
        <f t="shared" si="9"/>
        <v>-0.32348500312692313</v>
      </c>
    </row>
    <row r="89" spans="1:41" x14ac:dyDescent="0.25">
      <c r="A89" s="82" t="s">
        <v>17</v>
      </c>
      <c r="B89" s="75">
        <f>'NEW Summary 1990-2025 GHG'!B10-'NON-ETS &amp; ETS'!B10</f>
        <v>1123.0310909969073</v>
      </c>
      <c r="C89" s="75">
        <f>'NEW Summary 1990-2025 GHG'!C10-'NON-ETS &amp; ETS'!C10</f>
        <v>1095.8224261072294</v>
      </c>
      <c r="D89" s="75">
        <f>'NEW Summary 1990-2025 GHG'!D10-'NON-ETS &amp; ETS'!D10</f>
        <v>1000.6883477082063</v>
      </c>
      <c r="E89" s="75">
        <f>'NEW Summary 1990-2025 GHG'!E10-'NON-ETS &amp; ETS'!E10</f>
        <v>972.87066351775854</v>
      </c>
      <c r="F89" s="75">
        <f>'NEW Summary 1990-2025 GHG'!F10-'NON-ETS &amp; ETS'!F10</f>
        <v>978.15194948481633</v>
      </c>
      <c r="G89" s="75">
        <f>'NEW Summary 1990-2025 GHG'!G10-'NON-ETS &amp; ETS'!G10</f>
        <v>907.90664116874905</v>
      </c>
      <c r="H89" s="75">
        <f>'NEW Summary 1990-2025 GHG'!H10-'NON-ETS &amp; ETS'!H10</f>
        <v>868.598526372077</v>
      </c>
      <c r="I89" s="75">
        <f>'NEW Summary 1990-2025 GHG'!I10-'NON-ETS &amp; ETS'!I10</f>
        <v>821.10920498212943</v>
      </c>
      <c r="J89" s="75">
        <f>'NEW Summary 1990-2025 GHG'!J10-'NON-ETS &amp; ETS'!J10</f>
        <v>770.58880806853858</v>
      </c>
      <c r="K89" s="75">
        <f>'NEW Summary 1990-2025 GHG'!K10-'NON-ETS &amp; ETS'!K10</f>
        <v>796.53161704088768</v>
      </c>
      <c r="L89" s="75">
        <f>'NEW Summary 1990-2025 GHG'!L10-'NON-ETS &amp; ETS'!L10</f>
        <v>842.4515085758037</v>
      </c>
      <c r="M89" s="75">
        <f>'NEW Summary 1990-2025 GHG'!M10-'NON-ETS &amp; ETS'!M10</f>
        <v>809.28949189041646</v>
      </c>
      <c r="N89" s="75">
        <f>'NEW Summary 1990-2025 GHG'!N10-'NON-ETS &amp; ETS'!N10</f>
        <v>751.2861150755532</v>
      </c>
      <c r="O89" s="75">
        <f>'NEW Summary 1990-2025 GHG'!O10-'NON-ETS &amp; ETS'!O10</f>
        <v>709.6425909912889</v>
      </c>
      <c r="P89" s="75">
        <f>'NEW Summary 1990-2025 GHG'!P10-'NON-ETS &amp; ETS'!P10</f>
        <v>660.04458675644912</v>
      </c>
      <c r="Q89" s="75">
        <f>'NEW Summary 1990-2025 GHG'!Q10-'NON-ETS &amp; ETS'!Q10</f>
        <v>652.46294480390372</v>
      </c>
      <c r="R89" s="75">
        <f>'NEW Summary 1990-2025 GHG'!R10-'NON-ETS &amp; ETS'!R10</f>
        <v>628.45014163405415</v>
      </c>
      <c r="S89" s="75">
        <f>'NEW Summary 1990-2025 GHG'!S10-'NON-ETS &amp; ETS'!S10</f>
        <v>591.83133326778204</v>
      </c>
      <c r="T89" s="75">
        <f>'NEW Summary 1990-2025 GHG'!T10-'NON-ETS &amp; ETS'!T10</f>
        <v>591.12266295214692</v>
      </c>
      <c r="U89" s="75">
        <f>'NEW Summary 1990-2025 GHG'!U10-'NON-ETS &amp; ETS'!U10</f>
        <v>494.04984817162602</v>
      </c>
      <c r="V89" s="75">
        <f>'NEW Summary 1990-2025 GHG'!V10-'NON-ETS &amp; ETS'!V10</f>
        <v>519.87114526083337</v>
      </c>
      <c r="W89" s="75">
        <f>'NEW Summary 1990-2025 GHG'!W10-'NON-ETS &amp; ETS'!W10</f>
        <v>470.63039680007523</v>
      </c>
      <c r="X89" s="75">
        <f>'NEW Summary 1990-2025 GHG'!X10-'NON-ETS &amp; ETS'!X10</f>
        <v>505.31314848323638</v>
      </c>
      <c r="Y89" s="75">
        <f>'NEW Summary 1990-2025 GHG'!Y10-'NON-ETS &amp; ETS'!Y10</f>
        <v>574.69308205465143</v>
      </c>
      <c r="Z89" s="75">
        <f>'NEW Summary 1990-2025 GHG'!Z10-'NON-ETS &amp; ETS'!Z10</f>
        <v>580.32576656888057</v>
      </c>
      <c r="AA89" s="75">
        <f>'NEW Summary 1990-2025 GHG'!AA10-'NON-ETS &amp; ETS'!AA10</f>
        <v>604.99686446772591</v>
      </c>
      <c r="AB89" s="75">
        <f>'NEW Summary 1990-2025 GHG'!AB10-'NON-ETS &amp; ETS'!AB10</f>
        <v>627.63472592110838</v>
      </c>
      <c r="AC89" s="75">
        <f>'NEW Summary 1990-2025 GHG'!AC10-'NON-ETS &amp; ETS'!AC10</f>
        <v>633.14806694644255</v>
      </c>
      <c r="AD89" s="75">
        <f>'NEW Summary 1990-2025 GHG'!AD10-'NON-ETS &amp; ETS'!AD10</f>
        <v>678.38980513732463</v>
      </c>
      <c r="AE89" s="75">
        <f>'NEW Summary 1990-2025 GHG'!AE10-'NON-ETS &amp; ETS'!AE10</f>
        <v>704.60776901621239</v>
      </c>
      <c r="AF89" s="75">
        <f>'NEW Summary 1990-2025 GHG'!AF10-'NON-ETS &amp; ETS'!AF10</f>
        <v>663.52676504506292</v>
      </c>
      <c r="AG89" s="75">
        <f>'NEW Summary 1990-2025 GHG'!AG10-'NON-ETS &amp; ETS'!AG10</f>
        <v>697.95462510612663</v>
      </c>
      <c r="AH89" s="75">
        <f>'NEW Summary 1990-2025 GHG'!AH10-'NON-ETS &amp; ETS'!AH10</f>
        <v>689.87751989269123</v>
      </c>
      <c r="AI89" s="75">
        <f>'NEW Summary 1990-2025 GHG'!AI10-'NON-ETS &amp; ETS'!AI10</f>
        <v>648.87825537559922</v>
      </c>
      <c r="AJ89" s="75">
        <f>'NEW Summary 1990-2025 GHG'!AJ10-'NON-ETS &amp; ETS'!AJ10</f>
        <v>700.13519283614482</v>
      </c>
      <c r="AK89" s="75">
        <f>'NEW Summary 1990-2025 GHG'!AK10-'NON-ETS &amp; ETS'!AK10</f>
        <v>679.39990741638189</v>
      </c>
      <c r="AL89" s="76"/>
      <c r="AM89" s="77">
        <f t="shared" si="8"/>
        <v>-2.9616116475687126E-2</v>
      </c>
      <c r="AO89" s="77">
        <f t="shared" si="9"/>
        <v>4.128504588191443E-2</v>
      </c>
    </row>
    <row r="90" spans="1:41" x14ac:dyDescent="0.25">
      <c r="A90" s="82" t="s">
        <v>18</v>
      </c>
      <c r="B90" s="75">
        <f t="shared" ref="B90:AB90" si="10">SUM(B91:B95)</f>
        <v>5143.2200176793176</v>
      </c>
      <c r="C90" s="75">
        <f t="shared" si="10"/>
        <v>5322.7832705614946</v>
      </c>
      <c r="D90" s="75">
        <f t="shared" si="10"/>
        <v>5750.6985282709948</v>
      </c>
      <c r="E90" s="75">
        <f t="shared" si="10"/>
        <v>5725.0394143377143</v>
      </c>
      <c r="F90" s="75">
        <f t="shared" si="10"/>
        <v>5973.8913934320872</v>
      </c>
      <c r="G90" s="75">
        <f t="shared" si="10"/>
        <v>6264.1169786522005</v>
      </c>
      <c r="H90" s="75">
        <f t="shared" si="10"/>
        <v>7306.2869975265749</v>
      </c>
      <c r="I90" s="75">
        <f t="shared" si="10"/>
        <v>7679.9390846846409</v>
      </c>
      <c r="J90" s="75">
        <f t="shared" si="10"/>
        <v>9019.9300077280441</v>
      </c>
      <c r="K90" s="75">
        <f t="shared" si="10"/>
        <v>9739.628664271806</v>
      </c>
      <c r="L90" s="75">
        <f t="shared" si="10"/>
        <v>10779.065078575934</v>
      </c>
      <c r="M90" s="75">
        <f t="shared" si="10"/>
        <v>11302.080134697726</v>
      </c>
      <c r="N90" s="75">
        <f t="shared" si="10"/>
        <v>11495.624932787981</v>
      </c>
      <c r="O90" s="75">
        <f t="shared" si="10"/>
        <v>11698.304497723837</v>
      </c>
      <c r="P90" s="75">
        <f t="shared" si="10"/>
        <v>12416.763515431025</v>
      </c>
      <c r="Q90" s="75">
        <f t="shared" si="10"/>
        <v>13121.004385023904</v>
      </c>
      <c r="R90" s="75">
        <f t="shared" si="10"/>
        <v>13802.725648067277</v>
      </c>
      <c r="S90" s="75">
        <f t="shared" si="10"/>
        <v>14392.756052008692</v>
      </c>
      <c r="T90" s="75">
        <f t="shared" si="10"/>
        <v>13664.267124675782</v>
      </c>
      <c r="U90" s="75">
        <f t="shared" si="10"/>
        <v>12444.995423942555</v>
      </c>
      <c r="V90" s="75">
        <f t="shared" si="10"/>
        <v>11529.037607438011</v>
      </c>
      <c r="W90" s="75">
        <f t="shared" si="10"/>
        <v>11217.067370099192</v>
      </c>
      <c r="X90" s="75">
        <f t="shared" si="10"/>
        <v>10828.71255026297</v>
      </c>
      <c r="Y90" s="75">
        <f t="shared" si="10"/>
        <v>11039.78193880622</v>
      </c>
      <c r="Z90" s="75">
        <f t="shared" si="10"/>
        <v>11324.92722039086</v>
      </c>
      <c r="AA90" s="75">
        <f t="shared" si="10"/>
        <v>11814.685009344992</v>
      </c>
      <c r="AB90" s="75">
        <f t="shared" si="10"/>
        <v>12284.15753797274</v>
      </c>
      <c r="AC90" s="75">
        <f t="shared" ref="AC90:AK90" si="11">SUM(AC91:AC95)</f>
        <v>12137.400789874237</v>
      </c>
      <c r="AD90" s="75">
        <f t="shared" si="11"/>
        <v>12327.319669015918</v>
      </c>
      <c r="AE90" s="75">
        <f t="shared" si="11"/>
        <v>12366.543638754896</v>
      </c>
      <c r="AF90" s="75">
        <f t="shared" si="11"/>
        <v>10435.569024920473</v>
      </c>
      <c r="AG90" s="75">
        <f t="shared" si="11"/>
        <v>11138.616307698334</v>
      </c>
      <c r="AH90" s="75">
        <f t="shared" si="11"/>
        <v>11824.2833243144</v>
      </c>
      <c r="AI90" s="75">
        <f t="shared" si="11"/>
        <v>11873.718601771543</v>
      </c>
      <c r="AJ90" s="75">
        <f t="shared" si="11"/>
        <v>11719.356897933967</v>
      </c>
      <c r="AK90" s="75">
        <f t="shared" si="11"/>
        <v>11543.748767952977</v>
      </c>
      <c r="AL90" s="76"/>
      <c r="AM90" s="77">
        <f t="shared" si="8"/>
        <v>-1.4984451067613501E-2</v>
      </c>
      <c r="AO90" s="77">
        <f t="shared" si="9"/>
        <v>-0.12020845133404422</v>
      </c>
    </row>
    <row r="91" spans="1:41" outlineLevel="1" x14ac:dyDescent="0.25">
      <c r="A91" s="78" t="s">
        <v>19</v>
      </c>
      <c r="B91" s="97">
        <f>'NEW Summary 1990-2025 GHG'!B12-'NON-ETS &amp; ETS'!B12</f>
        <v>48.354472920142094</v>
      </c>
      <c r="C91" s="97">
        <f>'NEW Summary 1990-2025 GHG'!C12-'NON-ETS &amp; ETS'!C12</f>
        <v>43.849141826628333</v>
      </c>
      <c r="D91" s="97">
        <f>'NEW Summary 1990-2025 GHG'!D12-'NON-ETS &amp; ETS'!D12</f>
        <v>43.464431048474992</v>
      </c>
      <c r="E91" s="97">
        <f>'NEW Summary 1990-2025 GHG'!E12-'NON-ETS &amp; ETS'!E12</f>
        <v>37.386845768097686</v>
      </c>
      <c r="F91" s="97">
        <f>'NEW Summary 1990-2025 GHG'!F12-'NON-ETS &amp; ETS'!F12</f>
        <v>38.857346360882723</v>
      </c>
      <c r="G91" s="97">
        <f>'NEW Summary 1990-2025 GHG'!G12-'NON-ETS &amp; ETS'!G12</f>
        <v>45.691145047268989</v>
      </c>
      <c r="H91" s="97">
        <f>'NEW Summary 1990-2025 GHG'!H12-'NON-ETS &amp; ETS'!H12</f>
        <v>48.890257301984086</v>
      </c>
      <c r="I91" s="97">
        <f>'NEW Summary 1990-2025 GHG'!I12-'NON-ETS &amp; ETS'!I12</f>
        <v>51.362700720787267</v>
      </c>
      <c r="J91" s="97">
        <f>'NEW Summary 1990-2025 GHG'!J12-'NON-ETS &amp; ETS'!J12</f>
        <v>56.781475122252715</v>
      </c>
      <c r="K91" s="97">
        <f>'NEW Summary 1990-2025 GHG'!K12-'NON-ETS &amp; ETS'!K12</f>
        <v>64.304549257424284</v>
      </c>
      <c r="L91" s="97">
        <f>'NEW Summary 1990-2025 GHG'!L12-'NON-ETS &amp; ETS'!L12</f>
        <v>69.577832269903581</v>
      </c>
      <c r="M91" s="97">
        <f>'NEW Summary 1990-2025 GHG'!M12-'NON-ETS &amp; ETS'!M12</f>
        <v>69.127096298745826</v>
      </c>
      <c r="N91" s="97">
        <f>'NEW Summary 1990-2025 GHG'!N12-'NON-ETS &amp; ETS'!N12</f>
        <v>68.511109637673655</v>
      </c>
      <c r="O91" s="97">
        <f>'NEW Summary 1990-2025 GHG'!O12-'NON-ETS &amp; ETS'!O12</f>
        <v>71.108174535359964</v>
      </c>
      <c r="P91" s="97">
        <f>'NEW Summary 1990-2025 GHG'!P12-'NON-ETS &amp; ETS'!P12</f>
        <v>67.865608359739582</v>
      </c>
      <c r="Q91" s="97">
        <f>'NEW Summary 1990-2025 GHG'!Q12-'NON-ETS &amp; ETS'!Q12</f>
        <v>80.131365898535108</v>
      </c>
      <c r="R91" s="97">
        <f>'NEW Summary 1990-2025 GHG'!R12-'NON-ETS &amp; ETS'!R12</f>
        <v>91.95153907322296</v>
      </c>
      <c r="S91" s="97">
        <f>'NEW Summary 1990-2025 GHG'!S12-'NON-ETS &amp; ETS'!S12</f>
        <v>84.940533301882667</v>
      </c>
      <c r="T91" s="97">
        <f>'NEW Summary 1990-2025 GHG'!T12-'NON-ETS &amp; ETS'!T12</f>
        <v>80.451618871138791</v>
      </c>
      <c r="U91" s="97">
        <f>'NEW Summary 1990-2025 GHG'!U12-'NON-ETS &amp; ETS'!U12</f>
        <v>65.556665584758534</v>
      </c>
      <c r="V91" s="97">
        <f>'NEW Summary 1990-2025 GHG'!V12-'NON-ETS &amp; ETS'!V12</f>
        <v>49.464108653889738</v>
      </c>
      <c r="W91" s="97">
        <f>'NEW Summary 1990-2025 GHG'!W12-'NON-ETS &amp; ETS'!W12</f>
        <v>24.629249539924235</v>
      </c>
      <c r="X91" s="97">
        <f>'NEW Summary 1990-2025 GHG'!X12-'NON-ETS &amp; ETS'!X12</f>
        <v>14.976493967064759</v>
      </c>
      <c r="Y91" s="97">
        <f>'NEW Summary 1990-2025 GHG'!Y12-'NON-ETS &amp; ETS'!Y12</f>
        <v>0.11962586679194409</v>
      </c>
      <c r="Z91" s="97">
        <f>'NEW Summary 1990-2025 GHG'!Z12-'NON-ETS &amp; ETS'!Z12</f>
        <v>0.11427470434542641</v>
      </c>
      <c r="AA91" s="97">
        <f>'NEW Summary 1990-2025 GHG'!AA12-'NON-ETS &amp; ETS'!AA12</f>
        <v>0.12154041828375384</v>
      </c>
      <c r="AB91" s="97">
        <f>'NEW Summary 1990-2025 GHG'!AB12-'NON-ETS &amp; ETS'!AB12</f>
        <v>0.13091725770766871</v>
      </c>
      <c r="AC91" s="97">
        <f>'NEW Summary 1990-2025 GHG'!AC12-'NON-ETS &amp; ETS'!AC12</f>
        <v>0.13597525857336379</v>
      </c>
      <c r="AD91" s="97">
        <f>'NEW Summary 1990-2025 GHG'!AD12-'NON-ETS &amp; ETS'!AD12</f>
        <v>0.13005755504959637</v>
      </c>
      <c r="AE91" s="97">
        <f>'NEW Summary 1990-2025 GHG'!AE12-'NON-ETS &amp; ETS'!AE12</f>
        <v>0.13986367249541232</v>
      </c>
      <c r="AF91" s="97">
        <f>'NEW Summary 1990-2025 GHG'!AF12-'NON-ETS &amp; ETS'!AF12</f>
        <v>0.10622248329829098</v>
      </c>
      <c r="AG91" s="97">
        <f>'NEW Summary 1990-2025 GHG'!AG12-'NON-ETS &amp; ETS'!AG12</f>
        <v>0.15447172145373145</v>
      </c>
      <c r="AH91" s="97">
        <f>'NEW Summary 1990-2025 GHG'!AH12-'NON-ETS &amp; ETS'!AH12</f>
        <v>0.16947133190377173</v>
      </c>
      <c r="AI91" s="97">
        <f>'NEW Summary 1990-2025 GHG'!AI12-'NON-ETS &amp; ETS'!AI12</f>
        <v>0.18236812635090516</v>
      </c>
      <c r="AJ91" s="97">
        <f>'NEW Summary 1990-2025 GHG'!AJ12-'NON-ETS &amp; ETS'!AJ12</f>
        <v>0.20387348157610674</v>
      </c>
      <c r="AK91" s="97">
        <f>'NEW Summary 1990-2025 GHG'!AK12-'NON-ETS &amp; ETS'!AK12</f>
        <v>0.21859520829121948</v>
      </c>
      <c r="AL91" s="76"/>
      <c r="AM91" s="98">
        <f t="shared" si="8"/>
        <v>7.2210110904576186E-2</v>
      </c>
      <c r="AO91" s="98">
        <f t="shared" si="9"/>
        <v>-0.99727203940878761</v>
      </c>
    </row>
    <row r="92" spans="1:41" outlineLevel="1" x14ac:dyDescent="0.25">
      <c r="A92" s="78" t="s">
        <v>20</v>
      </c>
      <c r="B92" s="97">
        <f>'NEW Summary 1990-2025 GHG'!B13-'NON-ETS &amp; ETS'!B13</f>
        <v>4788.7404546969583</v>
      </c>
      <c r="C92" s="97">
        <f>'NEW Summary 1990-2025 GHG'!C13-'NON-ETS &amp; ETS'!C13</f>
        <v>4979.2903046676875</v>
      </c>
      <c r="D92" s="97">
        <f>'NEW Summary 1990-2025 GHG'!D13-'NON-ETS &amp; ETS'!D13</f>
        <v>5412.7258485220946</v>
      </c>
      <c r="E92" s="97">
        <f>'NEW Summary 1990-2025 GHG'!E13-'NON-ETS &amp; ETS'!E13</f>
        <v>5403.0057467902088</v>
      </c>
      <c r="F92" s="97">
        <f>'NEW Summary 1990-2025 GHG'!F13-'NON-ETS &amp; ETS'!F13</f>
        <v>5653.2190824603149</v>
      </c>
      <c r="G92" s="97">
        <f>'NEW Summary 1990-2025 GHG'!G13-'NON-ETS &amp; ETS'!G13</f>
        <v>5878.2828088789247</v>
      </c>
      <c r="H92" s="97">
        <f>'NEW Summary 1990-2025 GHG'!H13-'NON-ETS &amp; ETS'!H13</f>
        <v>6873.3504559086396</v>
      </c>
      <c r="I92" s="97">
        <f>'NEW Summary 1990-2025 GHG'!I13-'NON-ETS &amp; ETS'!I13</f>
        <v>7275.8730196654169</v>
      </c>
      <c r="J92" s="97">
        <f>'NEW Summary 1990-2025 GHG'!J13-'NON-ETS &amp; ETS'!J13</f>
        <v>8632.1528046517178</v>
      </c>
      <c r="K92" s="97">
        <f>'NEW Summary 1990-2025 GHG'!K13-'NON-ETS &amp; ETS'!K13</f>
        <v>9309.7229019830029</v>
      </c>
      <c r="L92" s="97">
        <f>'NEW Summary 1990-2025 GHG'!L13-'NON-ETS &amp; ETS'!L13</f>
        <v>10359.152061055522</v>
      </c>
      <c r="M92" s="97">
        <f>'NEW Summary 1990-2025 GHG'!M13-'NON-ETS &amp; ETS'!M13</f>
        <v>10825.287523066707</v>
      </c>
      <c r="N92" s="97">
        <f>'NEW Summary 1990-2025 GHG'!N13-'NON-ETS &amp; ETS'!N13</f>
        <v>11028.088350193018</v>
      </c>
      <c r="O92" s="97">
        <f>'NEW Summary 1990-2025 GHG'!O13-'NON-ETS &amp; ETS'!O13</f>
        <v>11199.275827738829</v>
      </c>
      <c r="P92" s="97">
        <f>'NEW Summary 1990-2025 GHG'!P13-'NON-ETS &amp; ETS'!P13</f>
        <v>11850.432062612017</v>
      </c>
      <c r="Q92" s="97">
        <f>'NEW Summary 1990-2025 GHG'!Q13-'NON-ETS &amp; ETS'!Q13</f>
        <v>12547.234989538229</v>
      </c>
      <c r="R92" s="97">
        <f>'NEW Summary 1990-2025 GHG'!R13-'NON-ETS &amp; ETS'!R13</f>
        <v>13178.700613293913</v>
      </c>
      <c r="S92" s="97">
        <f>'NEW Summary 1990-2025 GHG'!S13-'NON-ETS &amp; ETS'!S13</f>
        <v>13838.268981712095</v>
      </c>
      <c r="T92" s="97">
        <f>'NEW Summary 1990-2025 GHG'!T13-'NON-ETS &amp; ETS'!T13</f>
        <v>13083.925431284873</v>
      </c>
      <c r="U92" s="97">
        <f>'NEW Summary 1990-2025 GHG'!U13-'NON-ETS &amp; ETS'!U13</f>
        <v>11899.08573475969</v>
      </c>
      <c r="V92" s="97">
        <f>'NEW Summary 1990-2025 GHG'!V13-'NON-ETS &amp; ETS'!V13</f>
        <v>10988.455405872523</v>
      </c>
      <c r="W92" s="97">
        <f>'NEW Summary 1990-2025 GHG'!W13-'NON-ETS &amp; ETS'!W13</f>
        <v>10742.067305771905</v>
      </c>
      <c r="X92" s="97">
        <f>'NEW Summary 1990-2025 GHG'!X13-'NON-ETS &amp; ETS'!X13</f>
        <v>10370.837986137038</v>
      </c>
      <c r="Y92" s="97">
        <f>'NEW Summary 1990-2025 GHG'!Y13-'NON-ETS &amp; ETS'!Y13</f>
        <v>10593.311132431249</v>
      </c>
      <c r="Z92" s="97">
        <f>'NEW Summary 1990-2025 GHG'!Z13-'NON-ETS &amp; ETS'!Z13</f>
        <v>10841.792309462275</v>
      </c>
      <c r="AA92" s="97">
        <f>'NEW Summary 1990-2025 GHG'!AA13-'NON-ETS &amp; ETS'!AA13</f>
        <v>11343.511870029635</v>
      </c>
      <c r="AB92" s="97">
        <f>'NEW Summary 1990-2025 GHG'!AB13-'NON-ETS &amp; ETS'!AB13</f>
        <v>11808.093774993347</v>
      </c>
      <c r="AC92" s="97">
        <f>'NEW Summary 1990-2025 GHG'!AC13-'NON-ETS &amp; ETS'!AC13</f>
        <v>11694.493255242473</v>
      </c>
      <c r="AD92" s="97">
        <f>'NEW Summary 1990-2025 GHG'!AD13-'NON-ETS &amp; ETS'!AD13</f>
        <v>11850.43826943394</v>
      </c>
      <c r="AE92" s="97">
        <f>'NEW Summary 1990-2025 GHG'!AE13-'NON-ETS &amp; ETS'!AE13</f>
        <v>11851.813794091246</v>
      </c>
      <c r="AF92" s="97">
        <f>'NEW Summary 1990-2025 GHG'!AF13-'NON-ETS &amp; ETS'!AF13</f>
        <v>9876.6712006641828</v>
      </c>
      <c r="AG92" s="97">
        <f>'NEW Summary 1990-2025 GHG'!AG13-'NON-ETS &amp; ETS'!AG13</f>
        <v>10543.123981752422</v>
      </c>
      <c r="AH92" s="97">
        <f>'NEW Summary 1990-2025 GHG'!AH13-'NON-ETS &amp; ETS'!AH13</f>
        <v>11272.444532293734</v>
      </c>
      <c r="AI92" s="97">
        <f>'NEW Summary 1990-2025 GHG'!AI13-'NON-ETS &amp; ETS'!AI13</f>
        <v>11297.970912275559</v>
      </c>
      <c r="AJ92" s="97">
        <f>'NEW Summary 1990-2025 GHG'!AJ13-'NON-ETS &amp; ETS'!AJ13</f>
        <v>11153.693896675206</v>
      </c>
      <c r="AK92" s="97">
        <f>'NEW Summary 1990-2025 GHG'!AK13-'NON-ETS &amp; ETS'!AK13</f>
        <v>10963.371874403871</v>
      </c>
      <c r="AL92" s="76"/>
      <c r="AM92" s="98">
        <f t="shared" si="8"/>
        <v>-1.7063586649806502E-2</v>
      </c>
      <c r="AO92" s="98">
        <f t="shared" si="9"/>
        <v>-0.12623204366977814</v>
      </c>
    </row>
    <row r="93" spans="1:41" outlineLevel="1" x14ac:dyDescent="0.25">
      <c r="A93" s="78" t="s">
        <v>21</v>
      </c>
      <c r="B93" s="97">
        <f>'NEW Summary 1990-2025 GHG'!B14-'NON-ETS &amp; ETS'!B14</f>
        <v>147.17404525824003</v>
      </c>
      <c r="C93" s="97">
        <f>'NEW Summary 1990-2025 GHG'!C14-'NON-ETS &amp; ETS'!C14</f>
        <v>142.93516146624</v>
      </c>
      <c r="D93" s="97">
        <f>'NEW Summary 1990-2025 GHG'!D14-'NON-ETS &amp; ETS'!D14</f>
        <v>128.18384587008001</v>
      </c>
      <c r="E93" s="97">
        <f>'NEW Summary 1990-2025 GHG'!E14-'NON-ETS &amp; ETS'!E14</f>
        <v>140.73094189440002</v>
      </c>
      <c r="F93" s="97">
        <f>'NEW Summary 1990-2025 GHG'!F14-'NON-ETS &amp; ETS'!F14</f>
        <v>132.59228501376001</v>
      </c>
      <c r="G93" s="97">
        <f>'NEW Summary 1990-2025 GHG'!G14-'NON-ETS &amp; ETS'!G14</f>
        <v>123.09718531967999</v>
      </c>
      <c r="H93" s="97">
        <f>'NEW Summary 1990-2025 GHG'!H14-'NON-ETS &amp; ETS'!H14</f>
        <v>143.44382752127999</v>
      </c>
      <c r="I93" s="97">
        <f>'NEW Summary 1990-2025 GHG'!I14-'NON-ETS &amp; ETS'!I14</f>
        <v>138.35716697088</v>
      </c>
      <c r="J93" s="97">
        <f>'NEW Summary 1990-2025 GHG'!J14-'NON-ETS &amp; ETS'!J14</f>
        <v>142.42649541120002</v>
      </c>
      <c r="K93" s="97">
        <f>'NEW Summary 1990-2025 GHG'!K14-'NON-ETS &amp; ETS'!K14</f>
        <v>137.00072415744</v>
      </c>
      <c r="L93" s="97">
        <f>'NEW Summary 1990-2025 GHG'!L14-'NON-ETS &amp; ETS'!L14</f>
        <v>136.08512525836801</v>
      </c>
      <c r="M93" s="97">
        <f>'NEW Summary 1990-2025 GHG'!M14-'NON-ETS &amp; ETS'!M14</f>
        <v>148.53048807168</v>
      </c>
      <c r="N93" s="97">
        <f>'NEW Summary 1990-2025 GHG'!N14-'NON-ETS &amp; ETS'!N14</f>
        <v>129.87939938687998</v>
      </c>
      <c r="O93" s="97">
        <f>'NEW Summary 1990-2025 GHG'!O14-'NON-ETS &amp; ETS'!O14</f>
        <v>143.44382752127999</v>
      </c>
      <c r="P93" s="97">
        <f>'NEW Summary 1990-2025 GHG'!P14-'NON-ETS &amp; ETS'!P14</f>
        <v>151.24337369855999</v>
      </c>
      <c r="Q93" s="97">
        <f>'NEW Summary 1990-2025 GHG'!Q14-'NON-ETS &amp; ETS'!Q14</f>
        <v>135.02802940591434</v>
      </c>
      <c r="R93" s="97">
        <f>'NEW Summary 1990-2025 GHG'!R14-'NON-ETS &amp; ETS'!R14</f>
        <v>135.02802940591434</v>
      </c>
      <c r="S93" s="97">
        <f>'NEW Summary 1990-2025 GHG'!S14-'NON-ETS &amp; ETS'!S14</f>
        <v>146.02613659225096</v>
      </c>
      <c r="T93" s="97">
        <f>'NEW Summary 1990-2025 GHG'!T14-'NON-ETS &amp; ETS'!T14</f>
        <v>154.7575356680731</v>
      </c>
      <c r="U93" s="97">
        <f>'NEW Summary 1990-2025 GHG'!U14-'NON-ETS &amp; ETS'!U14</f>
        <v>135.79539518085264</v>
      </c>
      <c r="V93" s="97">
        <f>'NEW Summary 1990-2025 GHG'!V14-'NON-ETS &amp; ETS'!V14</f>
        <v>134.75774483812967</v>
      </c>
      <c r="W93" s="97">
        <f>'NEW Summary 1990-2025 GHG'!W14-'NON-ETS &amp; ETS'!W14</f>
        <v>134.82492054084685</v>
      </c>
      <c r="X93" s="97">
        <f>'NEW Summary 1990-2025 GHG'!X14-'NON-ETS &amp; ETS'!X14</f>
        <v>130.43014604512317</v>
      </c>
      <c r="Y93" s="97">
        <f>'NEW Summary 1990-2025 GHG'!Y14-'NON-ETS &amp; ETS'!Y14</f>
        <v>129.89084927087453</v>
      </c>
      <c r="Z93" s="97">
        <f>'NEW Summary 1990-2025 GHG'!Z14-'NON-ETS &amp; ETS'!Z14</f>
        <v>119.15715362980119</v>
      </c>
      <c r="AA93" s="97">
        <f>'NEW Summary 1990-2025 GHG'!AA14-'NON-ETS &amp; ETS'!AA14</f>
        <v>121.43673282786671</v>
      </c>
      <c r="AB93" s="97">
        <f>'NEW Summary 1990-2025 GHG'!AB14-'NON-ETS &amp; ETS'!AB14</f>
        <v>123.67630042111966</v>
      </c>
      <c r="AC93" s="97">
        <f>'NEW Summary 1990-2025 GHG'!AC14-'NON-ETS &amp; ETS'!AC14</f>
        <v>127.66973671158881</v>
      </c>
      <c r="AD93" s="97">
        <f>'NEW Summary 1990-2025 GHG'!AD14-'NON-ETS &amp; ETS'!AD14</f>
        <v>129.00863697232074</v>
      </c>
      <c r="AE93" s="97">
        <f>'NEW Summary 1990-2025 GHG'!AE14-'NON-ETS &amp; ETS'!AE14</f>
        <v>135.00040592698258</v>
      </c>
      <c r="AF93" s="97">
        <f>'NEW Summary 1990-2025 GHG'!AF14-'NON-ETS &amp; ETS'!AF14</f>
        <v>107.55618406760449</v>
      </c>
      <c r="AG93" s="97">
        <f>'NEW Summary 1990-2025 GHG'!AG14-'NON-ETS &amp; ETS'!AG14</f>
        <v>116.31823034311482</v>
      </c>
      <c r="AH93" s="97">
        <f>'NEW Summary 1990-2025 GHG'!AH14-'NON-ETS &amp; ETS'!AH14</f>
        <v>130.04888829006131</v>
      </c>
      <c r="AI93" s="97">
        <f>'NEW Summary 1990-2025 GHG'!AI14-'NON-ETS &amp; ETS'!AI14</f>
        <v>136.90048390775132</v>
      </c>
      <c r="AJ93" s="97">
        <f>'NEW Summary 1990-2025 GHG'!AJ14-'NON-ETS &amp; ETS'!AJ14</f>
        <v>146.42121453209683</v>
      </c>
      <c r="AK93" s="97">
        <f>'NEW Summary 1990-2025 GHG'!AK14-'NON-ETS &amp; ETS'!AK14</f>
        <v>155.29207658408313</v>
      </c>
      <c r="AL93" s="76"/>
      <c r="AM93" s="98">
        <f t="shared" si="8"/>
        <v>6.0584540842213382E-2</v>
      </c>
      <c r="AO93" s="98">
        <f t="shared" si="9"/>
        <v>0.15007289425258555</v>
      </c>
    </row>
    <row r="94" spans="1:41" outlineLevel="1" x14ac:dyDescent="0.25">
      <c r="A94" s="78" t="s">
        <v>22</v>
      </c>
      <c r="B94" s="97">
        <f>'NEW Summary 1990-2025 GHG'!B15-'NON-ETS &amp; ETS'!B15</f>
        <v>85.726956908678417</v>
      </c>
      <c r="C94" s="97">
        <f>'NEW Summary 1990-2025 GHG'!C15-'NON-ETS &amp; ETS'!C15</f>
        <v>82.562687081683208</v>
      </c>
      <c r="D94" s="97">
        <f>'NEW Summary 1990-2025 GHG'!D15-'NON-ETS &amp; ETS'!D15</f>
        <v>92.097163931212791</v>
      </c>
      <c r="E94" s="97">
        <f>'NEW Summary 1990-2025 GHG'!E15-'NON-ETS &amp; ETS'!E15</f>
        <v>92.097163931212791</v>
      </c>
      <c r="F94" s="97">
        <f>'NEW Summary 1990-2025 GHG'!F15-'NON-ETS &amp; ETS'!F15</f>
        <v>104.75424323919361</v>
      </c>
      <c r="G94" s="97">
        <f>'NEW Summary 1990-2025 GHG'!G15-'NON-ETS &amp; ETS'!G15</f>
        <v>92.055496562668793</v>
      </c>
      <c r="H94" s="97">
        <f>'NEW Summary 1990-2025 GHG'!H15-'NON-ETS &amp; ETS'!H15</f>
        <v>104.92091271336962</v>
      </c>
      <c r="I94" s="97">
        <f>'NEW Summary 1990-2025 GHG'!I15-'NON-ETS &amp; ETS'!I15</f>
        <v>108.08518254036478</v>
      </c>
      <c r="J94" s="97">
        <f>'NEW Summary 1990-2025 GHG'!J15-'NON-ETS &amp; ETS'!J15</f>
        <v>117.7029941269824</v>
      </c>
      <c r="K94" s="97">
        <f>'NEW Summary 1990-2025 GHG'!K15-'NON-ETS &amp; ETS'!K15</f>
        <v>130.48507554059518</v>
      </c>
      <c r="L94" s="97">
        <f>'NEW Summary 1990-2025 GHG'!L15-'NON-ETS &amp; ETS'!L15</f>
        <v>152.57225092446143</v>
      </c>
      <c r="M94" s="97">
        <f>'NEW Summary 1990-2025 GHG'!M15-'NON-ETS &amp; ETS'!M15</f>
        <v>152.50953751936132</v>
      </c>
      <c r="N94" s="97">
        <f>'NEW Summary 1990-2025 GHG'!N15-'NON-ETS &amp; ETS'!N15</f>
        <v>161.93963359524673</v>
      </c>
      <c r="O94" s="97">
        <f>'NEW Summary 1990-2025 GHG'!O15-'NON-ETS &amp; ETS'!O15</f>
        <v>174.53399949812734</v>
      </c>
      <c r="P94" s="97">
        <f>'NEW Summary 1990-2025 GHG'!P15-'NON-ETS &amp; ETS'!P15</f>
        <v>226.98568267800147</v>
      </c>
      <c r="Q94" s="97">
        <f>'NEW Summary 1990-2025 GHG'!Q15-'NON-ETS &amp; ETS'!Q15</f>
        <v>211.07129727370238</v>
      </c>
      <c r="R94" s="97">
        <f>'NEW Summary 1990-2025 GHG'!R15-'NON-ETS &amp; ETS'!R15</f>
        <v>249.97742158813534</v>
      </c>
      <c r="S94" s="97">
        <f>'NEW Summary 1990-2025 GHG'!S15-'NON-ETS &amp; ETS'!S15</f>
        <v>197.40859268813776</v>
      </c>
      <c r="T94" s="97">
        <f>'NEW Summary 1990-2025 GHG'!T15-'NON-ETS &amp; ETS'!T15</f>
        <v>204.61045789734627</v>
      </c>
      <c r="U94" s="97">
        <f>'NEW Summary 1990-2025 GHG'!U15-'NON-ETS &amp; ETS'!U15</f>
        <v>199.40026875476889</v>
      </c>
      <c r="V94" s="97">
        <f>'NEW Summary 1990-2025 GHG'!V15-'NON-ETS &amp; ETS'!V15</f>
        <v>199.99636947547253</v>
      </c>
      <c r="W94" s="97">
        <f>'NEW Summary 1990-2025 GHG'!W15-'NON-ETS &amp; ETS'!W15</f>
        <v>173.62376874531256</v>
      </c>
      <c r="X94" s="97">
        <f>'NEW Summary 1990-2025 GHG'!X15-'NON-ETS &amp; ETS'!X15</f>
        <v>183.48565770379801</v>
      </c>
      <c r="Y94" s="97">
        <f>'NEW Summary 1990-2025 GHG'!Y15-'NON-ETS &amp; ETS'!Y15</f>
        <v>179.47626489675855</v>
      </c>
      <c r="Z94" s="97">
        <f>'NEW Summary 1990-2025 GHG'!Z15-'NON-ETS &amp; ETS'!Z15</f>
        <v>224.67587290506694</v>
      </c>
      <c r="AA94" s="97">
        <f>'NEW Summary 1990-2025 GHG'!AA15-'NON-ETS &amp; ETS'!AA15</f>
        <v>221.59994578720966</v>
      </c>
      <c r="AB94" s="97">
        <f>'NEW Summary 1990-2025 GHG'!AB15-'NON-ETS &amp; ETS'!AB15</f>
        <v>266.29683759876133</v>
      </c>
      <c r="AC94" s="97">
        <f>'NEW Summary 1990-2025 GHG'!AC15-'NON-ETS &amp; ETS'!AC15</f>
        <v>235.13965761549042</v>
      </c>
      <c r="AD94" s="97">
        <f>'NEW Summary 1990-2025 GHG'!AD15-'NON-ETS &amp; ETS'!AD15</f>
        <v>260.07553164087784</v>
      </c>
      <c r="AE94" s="97">
        <f>'NEW Summary 1990-2025 GHG'!AE15-'NON-ETS &amp; ETS'!AE15</f>
        <v>276.99135330807951</v>
      </c>
      <c r="AF94" s="97">
        <f>'NEW Summary 1990-2025 GHG'!AF15-'NON-ETS &amp; ETS'!AF15</f>
        <v>338.74154628565952</v>
      </c>
      <c r="AG94" s="97">
        <f>'NEW Summary 1990-2025 GHG'!AG15-'NON-ETS &amp; ETS'!AG15</f>
        <v>362.23252940980211</v>
      </c>
      <c r="AH94" s="97">
        <f>'NEW Summary 1990-2025 GHG'!AH15-'NON-ETS &amp; ETS'!AH15</f>
        <v>305.61616181977513</v>
      </c>
      <c r="AI94" s="97">
        <f>'NEW Summary 1990-2025 GHG'!AI15-'NON-ETS &amp; ETS'!AI15</f>
        <v>323.93840906088064</v>
      </c>
      <c r="AJ94" s="97">
        <f>'NEW Summary 1990-2025 GHG'!AJ15-'NON-ETS &amp; ETS'!AJ15</f>
        <v>300.44222405261735</v>
      </c>
      <c r="AK94" s="97">
        <f>'NEW Summary 1990-2025 GHG'!AK15-'NON-ETS &amp; ETS'!AK15</f>
        <v>300.62397041519972</v>
      </c>
      <c r="AL94" s="76"/>
      <c r="AM94" s="98">
        <f t="shared" si="8"/>
        <v>6.0492949403324761E-4</v>
      </c>
      <c r="AO94" s="98">
        <f t="shared" si="9"/>
        <v>0.42427688794356411</v>
      </c>
    </row>
    <row r="95" spans="1:41" outlineLevel="1" x14ac:dyDescent="0.25">
      <c r="A95" s="78" t="s">
        <v>23</v>
      </c>
      <c r="B95" s="97">
        <f>'NEW Summary 1990-2025 GHG'!B16-'NON-ETS &amp; ETS'!B16</f>
        <v>73.224087895298638</v>
      </c>
      <c r="C95" s="97">
        <f>'NEW Summary 1990-2025 GHG'!C16-'NON-ETS &amp; ETS'!C16</f>
        <v>74.145975519255643</v>
      </c>
      <c r="D95" s="97">
        <f>'NEW Summary 1990-2025 GHG'!D16-'NON-ETS &amp; ETS'!D16</f>
        <v>74.22723889913236</v>
      </c>
      <c r="E95" s="97">
        <f>'NEW Summary 1990-2025 GHG'!E16-'NON-ETS &amp; ETS'!E16</f>
        <v>51.818715953795675</v>
      </c>
      <c r="F95" s="97">
        <f>'NEW Summary 1990-2025 GHG'!F16-'NON-ETS &amp; ETS'!F16</f>
        <v>44.468436357935275</v>
      </c>
      <c r="G95" s="97">
        <f>'NEW Summary 1990-2025 GHG'!G16-'NON-ETS &amp; ETS'!G16</f>
        <v>124.99034284365784</v>
      </c>
      <c r="H95" s="97">
        <f>'NEW Summary 1990-2025 GHG'!H16-'NON-ETS &amp; ETS'!H16</f>
        <v>135.68154408130164</v>
      </c>
      <c r="I95" s="97">
        <f>'NEW Summary 1990-2025 GHG'!I16-'NON-ETS &amp; ETS'!I16</f>
        <v>106.26101478719231</v>
      </c>
      <c r="J95" s="97">
        <f>'NEW Summary 1990-2025 GHG'!J16-'NON-ETS &amp; ETS'!J16</f>
        <v>70.866238415891189</v>
      </c>
      <c r="K95" s="97">
        <f>'NEW Summary 1990-2025 GHG'!K16-'NON-ETS &amp; ETS'!K16</f>
        <v>98.115413333344506</v>
      </c>
      <c r="L95" s="97">
        <f>'NEW Summary 1990-2025 GHG'!L16-'NON-ETS &amp; ETS'!L16</f>
        <v>61.677809067678709</v>
      </c>
      <c r="M95" s="97">
        <f>'NEW Summary 1990-2025 GHG'!M16-'NON-ETS &amp; ETS'!M16</f>
        <v>106.6254897412327</v>
      </c>
      <c r="N95" s="97">
        <f>'NEW Summary 1990-2025 GHG'!N16-'NON-ETS &amp; ETS'!N16</f>
        <v>107.20643997516267</v>
      </c>
      <c r="O95" s="97">
        <f>'NEW Summary 1990-2025 GHG'!O16-'NON-ETS &amp; ETS'!O16</f>
        <v>109.94266843023924</v>
      </c>
      <c r="P95" s="97">
        <f>'NEW Summary 1990-2025 GHG'!P16-'NON-ETS &amp; ETS'!P16</f>
        <v>120.23678808270515</v>
      </c>
      <c r="Q95" s="97">
        <f>'NEW Summary 1990-2025 GHG'!Q16-'NON-ETS &amp; ETS'!Q16</f>
        <v>147.53870290752531</v>
      </c>
      <c r="R95" s="97">
        <f>'NEW Summary 1990-2025 GHG'!R16-'NON-ETS &amp; ETS'!R16</f>
        <v>147.06804470609086</v>
      </c>
      <c r="S95" s="97">
        <f>'NEW Summary 1990-2025 GHG'!S16-'NON-ETS &amp; ETS'!S16</f>
        <v>126.11180771432579</v>
      </c>
      <c r="T95" s="97">
        <f>'NEW Summary 1990-2025 GHG'!T16-'NON-ETS &amp; ETS'!T16</f>
        <v>140.52208095434904</v>
      </c>
      <c r="U95" s="97">
        <f>'NEW Summary 1990-2025 GHG'!U16-'NON-ETS &amp; ETS'!U16</f>
        <v>145.15735966248658</v>
      </c>
      <c r="V95" s="97">
        <f>'NEW Summary 1990-2025 GHG'!V16-'NON-ETS &amp; ETS'!V16</f>
        <v>156.36397859799499</v>
      </c>
      <c r="W95" s="97">
        <f>'NEW Summary 1990-2025 GHG'!W16-'NON-ETS &amp; ETS'!W16</f>
        <v>141.92212550120331</v>
      </c>
      <c r="X95" s="97">
        <f>'NEW Summary 1990-2025 GHG'!X16-'NON-ETS &amp; ETS'!X16</f>
        <v>128.98226640994883</v>
      </c>
      <c r="Y95" s="97">
        <f>'NEW Summary 1990-2025 GHG'!Y16-'NON-ETS &amp; ETS'!Y16</f>
        <v>136.98406634054578</v>
      </c>
      <c r="Z95" s="97">
        <f>'NEW Summary 1990-2025 GHG'!Z16-'NON-ETS &amp; ETS'!Z16</f>
        <v>139.18760968937252</v>
      </c>
      <c r="AA95" s="97">
        <f>'NEW Summary 1990-2025 GHG'!AA16-'NON-ETS &amp; ETS'!AA16</f>
        <v>128.01492028199672</v>
      </c>
      <c r="AB95" s="97">
        <f>'NEW Summary 1990-2025 GHG'!AB16-'NON-ETS &amp; ETS'!AB16</f>
        <v>85.95970770180358</v>
      </c>
      <c r="AC95" s="97">
        <f>'NEW Summary 1990-2025 GHG'!AC16-'NON-ETS &amp; ETS'!AC16</f>
        <v>79.962165046109874</v>
      </c>
      <c r="AD95" s="97">
        <f>'NEW Summary 1990-2025 GHG'!AD16-'NON-ETS &amp; ETS'!AD16</f>
        <v>87.667173413729344</v>
      </c>
      <c r="AE95" s="97">
        <f>'NEW Summary 1990-2025 GHG'!AE16-'NON-ETS &amp; ETS'!AE16</f>
        <v>102.59822175609263</v>
      </c>
      <c r="AF95" s="97">
        <f>'NEW Summary 1990-2025 GHG'!AF16-'NON-ETS &amp; ETS'!AF16</f>
        <v>112.49387141972801</v>
      </c>
      <c r="AG95" s="97">
        <f>'NEW Summary 1990-2025 GHG'!AG16-'NON-ETS &amp; ETS'!AG16</f>
        <v>116.7870944715423</v>
      </c>
      <c r="AH95" s="97">
        <f>'NEW Summary 1990-2025 GHG'!AH16-'NON-ETS &amp; ETS'!AH16</f>
        <v>116.00427057892782</v>
      </c>
      <c r="AI95" s="97">
        <f>'NEW Summary 1990-2025 GHG'!AI16-'NON-ETS &amp; ETS'!AI16</f>
        <v>114.72642840100093</v>
      </c>
      <c r="AJ95" s="97">
        <f>'NEW Summary 1990-2025 GHG'!AJ16-'NON-ETS &amp; ETS'!AJ16</f>
        <v>118.59568919247039</v>
      </c>
      <c r="AK95" s="97">
        <f>'NEW Summary 1990-2025 GHG'!AK16-'NON-ETS &amp; ETS'!AK16</f>
        <v>124.24225134153298</v>
      </c>
      <c r="AL95" s="76"/>
      <c r="AM95" s="98">
        <f t="shared" si="8"/>
        <v>4.7611866734032081E-2</v>
      </c>
      <c r="AO95" s="98">
        <f t="shared" si="9"/>
        <v>-0.15790061256397339</v>
      </c>
    </row>
    <row r="96" spans="1:41" x14ac:dyDescent="0.25">
      <c r="A96" s="82" t="s">
        <v>24</v>
      </c>
      <c r="B96" s="75">
        <f t="shared" ref="B96:AB96" si="12">SUM(B97:B101)</f>
        <v>3161.559738976744</v>
      </c>
      <c r="C96" s="75">
        <f t="shared" si="12"/>
        <v>2872.553911284198</v>
      </c>
      <c r="D96" s="75">
        <f t="shared" si="12"/>
        <v>2784.0648123635565</v>
      </c>
      <c r="E96" s="75">
        <f t="shared" si="12"/>
        <v>2749.2930743739112</v>
      </c>
      <c r="F96" s="75">
        <f t="shared" si="12"/>
        <v>2987.4581126653125</v>
      </c>
      <c r="G96" s="75">
        <f t="shared" si="12"/>
        <v>2901.0088638522143</v>
      </c>
      <c r="H96" s="75">
        <f t="shared" si="12"/>
        <v>2982.9360376297204</v>
      </c>
      <c r="I96" s="75">
        <f t="shared" si="12"/>
        <v>3311.9963753963725</v>
      </c>
      <c r="J96" s="75">
        <f t="shared" si="12"/>
        <v>3201.4966168304627</v>
      </c>
      <c r="K96" s="75">
        <f t="shared" si="12"/>
        <v>3151.6402265406441</v>
      </c>
      <c r="L96" s="75">
        <f t="shared" si="12"/>
        <v>3699.2791976138528</v>
      </c>
      <c r="M96" s="75">
        <f t="shared" si="12"/>
        <v>3755.8997730443321</v>
      </c>
      <c r="N96" s="75">
        <f t="shared" si="12"/>
        <v>3267.579686525336</v>
      </c>
      <c r="O96" s="75">
        <f t="shared" si="12"/>
        <v>2491.4216368361776</v>
      </c>
      <c r="P96" s="75">
        <f t="shared" si="12"/>
        <v>2663.1856876769994</v>
      </c>
      <c r="Q96" s="75">
        <f t="shared" si="12"/>
        <v>201.92310589851323</v>
      </c>
      <c r="R96" s="75">
        <f t="shared" si="12"/>
        <v>160.62220153960746</v>
      </c>
      <c r="S96" s="75">
        <f t="shared" si="12"/>
        <v>176.56550240934803</v>
      </c>
      <c r="T96" s="75">
        <f t="shared" si="12"/>
        <v>164.68369792883064</v>
      </c>
      <c r="U96" s="75">
        <f t="shared" si="12"/>
        <v>166.3026671411763</v>
      </c>
      <c r="V96" s="75">
        <f t="shared" si="12"/>
        <v>158.73269479167652</v>
      </c>
      <c r="W96" s="75">
        <f t="shared" si="12"/>
        <v>159.61691023778806</v>
      </c>
      <c r="X96" s="75">
        <f t="shared" si="12"/>
        <v>161.32983238706711</v>
      </c>
      <c r="Y96" s="75">
        <f t="shared" si="12"/>
        <v>167.65779621609505</v>
      </c>
      <c r="Z96" s="75">
        <f t="shared" si="12"/>
        <v>164.12201995840783</v>
      </c>
      <c r="AA96" s="75">
        <f t="shared" si="12"/>
        <v>171.18169788481956</v>
      </c>
      <c r="AB96" s="75">
        <f t="shared" si="12"/>
        <v>175.04983805921938</v>
      </c>
      <c r="AC96" s="75">
        <f t="shared" ref="AC96:AK96" si="13">SUM(AC97:AC101)</f>
        <v>191.23169782858312</v>
      </c>
      <c r="AD96" s="75">
        <f t="shared" si="13"/>
        <v>193.28823801743494</v>
      </c>
      <c r="AE96" s="75">
        <f t="shared" si="13"/>
        <v>201.89139046346958</v>
      </c>
      <c r="AF96" s="75">
        <f t="shared" si="13"/>
        <v>195.46169965043822</v>
      </c>
      <c r="AG96" s="75">
        <f t="shared" si="13"/>
        <v>210.20269478109432</v>
      </c>
      <c r="AH96" s="75">
        <f t="shared" si="13"/>
        <v>220.16220771633749</v>
      </c>
      <c r="AI96" s="75">
        <f t="shared" si="13"/>
        <v>213.13869480533501</v>
      </c>
      <c r="AJ96" s="75">
        <f t="shared" si="13"/>
        <v>212.4614715093681</v>
      </c>
      <c r="AK96" s="75">
        <f t="shared" si="13"/>
        <v>211.44027487585737</v>
      </c>
      <c r="AL96" s="76"/>
      <c r="AM96" s="77">
        <f t="shared" si="8"/>
        <v>-4.8065026861385477E-3</v>
      </c>
      <c r="AO96" s="77">
        <f t="shared" si="9"/>
        <v>4.7132639600578848E-2</v>
      </c>
    </row>
    <row r="97" spans="1:41" outlineLevel="1" x14ac:dyDescent="0.25">
      <c r="A97" s="78" t="s">
        <v>25</v>
      </c>
      <c r="B97" s="97">
        <f>'NEW Summary 1990-2025 GHG'!B18-'NON-ETS &amp; ETS'!B18</f>
        <v>1116.7254085014333</v>
      </c>
      <c r="C97" s="97">
        <f>'NEW Summary 1990-2025 GHG'!C18-'NON-ETS &amp; ETS'!C18</f>
        <v>992.38939661731536</v>
      </c>
      <c r="D97" s="97">
        <f>'NEW Summary 1990-2025 GHG'!D18-'NON-ETS &amp; ETS'!D18</f>
        <v>932.96808506651939</v>
      </c>
      <c r="E97" s="97">
        <f>'NEW Summary 1990-2025 GHG'!E18-'NON-ETS &amp; ETS'!E18</f>
        <v>951.12593750870883</v>
      </c>
      <c r="F97" s="97">
        <f>'NEW Summary 1990-2025 GHG'!F18-'NON-ETS &amp; ETS'!F18</f>
        <v>1081.7022655246876</v>
      </c>
      <c r="G97" s="97">
        <f>'NEW Summary 1990-2025 GHG'!G18-'NON-ETS &amp; ETS'!G18</f>
        <v>1084.1810327260134</v>
      </c>
      <c r="H97" s="97">
        <f>'NEW Summary 1990-2025 GHG'!H18-'NON-ETS &amp; ETS'!H18</f>
        <v>1198.3870831754853</v>
      </c>
      <c r="I97" s="97">
        <f>'NEW Summary 1990-2025 GHG'!I18-'NON-ETS &amp; ETS'!I18</f>
        <v>1384.9248481927566</v>
      </c>
      <c r="J97" s="97">
        <f>'NEW Summary 1990-2025 GHG'!J18-'NON-ETS &amp; ETS'!J18</f>
        <v>1288.1260716317763</v>
      </c>
      <c r="K97" s="97">
        <f>'NEW Summary 1990-2025 GHG'!K18-'NON-ETS &amp; ETS'!K18</f>
        <v>1353.709634567598</v>
      </c>
      <c r="L97" s="97">
        <f>'NEW Summary 1990-2025 GHG'!L18-'NON-ETS &amp; ETS'!L18</f>
        <v>1908.7841314126661</v>
      </c>
      <c r="M97" s="97">
        <f>'NEW Summary 1990-2025 GHG'!M18-'NON-ETS &amp; ETS'!M18</f>
        <v>2061.4371933464076</v>
      </c>
      <c r="N97" s="97">
        <f>'NEW Summary 1990-2025 GHG'!N18-'NON-ETS &amp; ETS'!N18</f>
        <v>2063.3791229426015</v>
      </c>
      <c r="O97" s="97">
        <f>'NEW Summary 1990-2025 GHG'!O18-'NON-ETS &amp; ETS'!O18</f>
        <v>2342.3181160836975</v>
      </c>
      <c r="P97" s="97">
        <f>'NEW Summary 1990-2025 GHG'!P18-'NON-ETS &amp; ETS'!P18</f>
        <v>2507.0626593013171</v>
      </c>
      <c r="Q97" s="97">
        <f>'NEW Summary 1990-2025 GHG'!Q18-'NON-ETS &amp; ETS'!Q18</f>
        <v>-1.8884436408129659</v>
      </c>
      <c r="R97" s="97">
        <f>'NEW Summary 1990-2025 GHG'!R18-'NON-ETS &amp; ETS'!R18</f>
        <v>-1.9380486849968293E-2</v>
      </c>
      <c r="S97" s="97">
        <f>'NEW Summary 1990-2025 GHG'!S18-'NON-ETS &amp; ETS'!S18</f>
        <v>0</v>
      </c>
      <c r="T97" s="97">
        <f>'NEW Summary 1990-2025 GHG'!T18-'NON-ETS &amp; ETS'!T18</f>
        <v>-0.65223437260010542</v>
      </c>
      <c r="U97" s="97">
        <f>'NEW Summary 1990-2025 GHG'!U18-'NON-ETS &amp; ETS'!U18</f>
        <v>-2.9480599999942569E-2</v>
      </c>
      <c r="V97" s="97">
        <f>'NEW Summary 1990-2025 GHG'!V18-'NON-ETS &amp; ETS'!V18</f>
        <v>0</v>
      </c>
      <c r="W97" s="97">
        <f>'NEW Summary 1990-2025 GHG'!W18-'NON-ETS &amp; ETS'!W18</f>
        <v>0</v>
      </c>
      <c r="X97" s="97">
        <f>'NEW Summary 1990-2025 GHG'!X18-'NON-ETS &amp; ETS'!X18</f>
        <v>0</v>
      </c>
      <c r="Y97" s="97">
        <f>'NEW Summary 1990-2025 GHG'!Y18-'NON-ETS &amp; ETS'!Y18</f>
        <v>0</v>
      </c>
      <c r="Z97" s="97">
        <f>'NEW Summary 1990-2025 GHG'!Z18-'NON-ETS &amp; ETS'!Z18</f>
        <v>0</v>
      </c>
      <c r="AA97" s="97">
        <f>'NEW Summary 1990-2025 GHG'!AA18-'NON-ETS &amp; ETS'!AA18</f>
        <v>0</v>
      </c>
      <c r="AB97" s="97">
        <f>'NEW Summary 1990-2025 GHG'!AB18-'NON-ETS &amp; ETS'!AB18</f>
        <v>0</v>
      </c>
      <c r="AC97" s="97">
        <f>'NEW Summary 1990-2025 GHG'!AC18-'NON-ETS &amp; ETS'!AC18</f>
        <v>0</v>
      </c>
      <c r="AD97" s="97">
        <f>'NEW Summary 1990-2025 GHG'!AD18-'NON-ETS &amp; ETS'!AD18</f>
        <v>0</v>
      </c>
      <c r="AE97" s="97">
        <f>'NEW Summary 1990-2025 GHG'!AE18-'NON-ETS &amp; ETS'!AE18</f>
        <v>0.19617623483964053</v>
      </c>
      <c r="AF97" s="97">
        <f>'NEW Summary 1990-2025 GHG'!AF18-'NON-ETS &amp; ETS'!AF18</f>
        <v>0.27375387000006413</v>
      </c>
      <c r="AG97" s="97">
        <f>'NEW Summary 1990-2025 GHG'!AG18-'NON-ETS &amp; ETS'!AG18</f>
        <v>0</v>
      </c>
      <c r="AH97" s="97">
        <f>'NEW Summary 1990-2025 GHG'!AH18-'NON-ETS &amp; ETS'!AH18</f>
        <v>0</v>
      </c>
      <c r="AI97" s="97">
        <f>'NEW Summary 1990-2025 GHG'!AI18-'NON-ETS &amp; ETS'!AI18</f>
        <v>0</v>
      </c>
      <c r="AJ97" s="97">
        <f>'NEW Summary 1990-2025 GHG'!AJ18-'NON-ETS &amp; ETS'!AJ18</f>
        <v>0</v>
      </c>
      <c r="AK97" s="97">
        <f>'NEW Summary 1990-2025 GHG'!AK18-'NON-ETS &amp; ETS'!AK18</f>
        <v>0</v>
      </c>
      <c r="AL97" s="76"/>
      <c r="AM97" s="98" t="e">
        <f t="shared" si="8"/>
        <v>#DIV/0!</v>
      </c>
      <c r="AO97" s="98">
        <f t="shared" si="9"/>
        <v>-1</v>
      </c>
    </row>
    <row r="98" spans="1:41" outlineLevel="1" x14ac:dyDescent="0.25">
      <c r="A98" s="78" t="s">
        <v>26</v>
      </c>
      <c r="B98" s="97">
        <f>'NEW Summary 1990-2025 GHG'!B19-'NON-ETS &amp; ETS'!B19</f>
        <v>1875.3334978391945</v>
      </c>
      <c r="C98" s="97">
        <f>'NEW Summary 1990-2025 GHG'!C19-'NON-ETS &amp; ETS'!C19</f>
        <v>1724.8285009289525</v>
      </c>
      <c r="D98" s="97">
        <f>'NEW Summary 1990-2025 GHG'!D19-'NON-ETS &amp; ETS'!D19</f>
        <v>1698.0734679642192</v>
      </c>
      <c r="E98" s="97">
        <f>'NEW Summary 1990-2025 GHG'!E19-'NON-ETS &amp; ETS'!E19</f>
        <v>1640.6987861620685</v>
      </c>
      <c r="F98" s="97">
        <f>'NEW Summary 1990-2025 GHG'!F19-'NON-ETS &amp; ETS'!F19</f>
        <v>1751.1376166776076</v>
      </c>
      <c r="G98" s="97">
        <f>'NEW Summary 1990-2025 GHG'!G19-'NON-ETS &amp; ETS'!G19</f>
        <v>1667.9492827002227</v>
      </c>
      <c r="H98" s="97">
        <f>'NEW Summary 1990-2025 GHG'!H19-'NON-ETS &amp; ETS'!H19</f>
        <v>1617.3624518539398</v>
      </c>
      <c r="I98" s="97">
        <f>'NEW Summary 1990-2025 GHG'!I19-'NON-ETS &amp; ETS'!I19</f>
        <v>1767.6365536725266</v>
      </c>
      <c r="J98" s="97">
        <f>'NEW Summary 1990-2025 GHG'!J19-'NON-ETS &amp; ETS'!J19</f>
        <v>1753.3176564006599</v>
      </c>
      <c r="K98" s="97">
        <f>'NEW Summary 1990-2025 GHG'!K19-'NON-ETS &amp; ETS'!K19</f>
        <v>1637.3296338628056</v>
      </c>
      <c r="L98" s="97">
        <f>'NEW Summary 1990-2025 GHG'!L19-'NON-ETS &amp; ETS'!L19</f>
        <v>1576.807354251187</v>
      </c>
      <c r="M98" s="97">
        <f>'NEW Summary 1990-2025 GHG'!M19-'NON-ETS &amp; ETS'!M19</f>
        <v>1540.8133255458383</v>
      </c>
      <c r="N98" s="97">
        <f>'NEW Summary 1990-2025 GHG'!N19-'NON-ETS &amp; ETS'!N19</f>
        <v>1060.7430995915581</v>
      </c>
      <c r="O98" s="97">
        <f>'NEW Summary 1990-2025 GHG'!O19-'NON-ETS &amp; ETS'!O19</f>
        <v>0.29746643374315695</v>
      </c>
      <c r="P98" s="97" t="s">
        <v>56</v>
      </c>
      <c r="Q98" s="97" t="s">
        <v>56</v>
      </c>
      <c r="R98" s="97" t="s">
        <v>56</v>
      </c>
      <c r="S98" s="97" t="s">
        <v>56</v>
      </c>
      <c r="T98" s="97" t="s">
        <v>56</v>
      </c>
      <c r="U98" s="97" t="s">
        <v>56</v>
      </c>
      <c r="V98" s="97" t="s">
        <v>56</v>
      </c>
      <c r="W98" s="97" t="s">
        <v>56</v>
      </c>
      <c r="X98" s="97" t="s">
        <v>56</v>
      </c>
      <c r="Y98" s="97" t="s">
        <v>56</v>
      </c>
      <c r="Z98" s="97" t="s">
        <v>56</v>
      </c>
      <c r="AA98" s="97" t="s">
        <v>56</v>
      </c>
      <c r="AB98" s="97" t="s">
        <v>56</v>
      </c>
      <c r="AC98" s="97" t="s">
        <v>56</v>
      </c>
      <c r="AD98" s="97" t="s">
        <v>56</v>
      </c>
      <c r="AE98" s="97" t="s">
        <v>56</v>
      </c>
      <c r="AF98" s="97" t="s">
        <v>56</v>
      </c>
      <c r="AG98" s="97" t="s">
        <v>56</v>
      </c>
      <c r="AH98" s="97" t="s">
        <v>56</v>
      </c>
      <c r="AI98" s="97" t="s">
        <v>56</v>
      </c>
      <c r="AJ98" s="97" t="s">
        <v>56</v>
      </c>
      <c r="AK98" s="97" t="s">
        <v>56</v>
      </c>
      <c r="AL98" s="76"/>
      <c r="AM98" s="98"/>
      <c r="AO98" s="98"/>
    </row>
    <row r="99" spans="1:41" outlineLevel="1" x14ac:dyDescent="0.25">
      <c r="A99" s="78" t="s">
        <v>27</v>
      </c>
      <c r="B99" s="97">
        <f>'NEW Summary 1990-2025 GHG'!B20-'NON-ETS &amp; ETS'!B20</f>
        <v>26.080000000000002</v>
      </c>
      <c r="C99" s="97">
        <f>'NEW Summary 1990-2025 GHG'!C20-'NON-ETS &amp; ETS'!C20</f>
        <v>23.44</v>
      </c>
      <c r="D99" s="97">
        <f>'NEW Summary 1990-2025 GHG'!D20-'NON-ETS &amp; ETS'!D20</f>
        <v>20.56</v>
      </c>
      <c r="E99" s="97">
        <f>'NEW Summary 1990-2025 GHG'!E20-'NON-ETS &amp; ETS'!E20</f>
        <v>26.080000000000002</v>
      </c>
      <c r="F99" s="97">
        <f>'NEW Summary 1990-2025 GHG'!F20-'NON-ETS &amp; ETS'!F20</f>
        <v>21.28</v>
      </c>
      <c r="G99" s="97">
        <f>'NEW Summary 1990-2025 GHG'!G20-'NON-ETS &amp; ETS'!G20</f>
        <v>24.8</v>
      </c>
      <c r="H99" s="97">
        <f>'NEW Summary 1990-2025 GHG'!H20-'NON-ETS &amp; ETS'!H20</f>
        <v>27.28</v>
      </c>
      <c r="I99" s="97">
        <f>'NEW Summary 1990-2025 GHG'!I20-'NON-ETS &amp; ETS'!I20</f>
        <v>26.96</v>
      </c>
      <c r="J99" s="97">
        <f>'NEW Summary 1990-2025 GHG'!J20-'NON-ETS &amp; ETS'!J20</f>
        <v>28.64</v>
      </c>
      <c r="K99" s="97">
        <f>'NEW Summary 1990-2025 GHG'!K20-'NON-ETS &amp; ETS'!K20</f>
        <v>26.8</v>
      </c>
      <c r="L99" s="97">
        <f>'NEW Summary 1990-2025 GHG'!L20-'NON-ETS &amp; ETS'!L20</f>
        <v>28.8</v>
      </c>
      <c r="M99" s="97">
        <f>'NEW Summary 1990-2025 GHG'!M20-'NON-ETS &amp; ETS'!M20</f>
        <v>12</v>
      </c>
      <c r="N99" s="97" t="s">
        <v>56</v>
      </c>
      <c r="O99" s="97" t="s">
        <v>56</v>
      </c>
      <c r="P99" s="97" t="s">
        <v>56</v>
      </c>
      <c r="Q99" s="97" t="s">
        <v>56</v>
      </c>
      <c r="R99" s="97" t="s">
        <v>56</v>
      </c>
      <c r="S99" s="97" t="s">
        <v>56</v>
      </c>
      <c r="T99" s="97" t="s">
        <v>56</v>
      </c>
      <c r="U99" s="97" t="s">
        <v>56</v>
      </c>
      <c r="V99" s="97" t="s">
        <v>56</v>
      </c>
      <c r="W99" s="97" t="s">
        <v>56</v>
      </c>
      <c r="X99" s="97" t="s">
        <v>56</v>
      </c>
      <c r="Y99" s="97" t="s">
        <v>56</v>
      </c>
      <c r="Z99" s="97" t="s">
        <v>56</v>
      </c>
      <c r="AA99" s="97" t="s">
        <v>56</v>
      </c>
      <c r="AB99" s="97" t="s">
        <v>56</v>
      </c>
      <c r="AC99" s="97" t="s">
        <v>56</v>
      </c>
      <c r="AD99" s="97" t="s">
        <v>56</v>
      </c>
      <c r="AE99" s="97" t="s">
        <v>56</v>
      </c>
      <c r="AF99" s="97" t="s">
        <v>56</v>
      </c>
      <c r="AG99" s="97" t="s">
        <v>56</v>
      </c>
      <c r="AH99" s="97" t="s">
        <v>56</v>
      </c>
      <c r="AI99" s="97" t="s">
        <v>56</v>
      </c>
      <c r="AJ99" s="97" t="s">
        <v>56</v>
      </c>
      <c r="AK99" s="97" t="s">
        <v>56</v>
      </c>
      <c r="AL99" s="76"/>
      <c r="AM99" s="98"/>
      <c r="AO99" s="98"/>
    </row>
    <row r="100" spans="1:41" outlineLevel="1" x14ac:dyDescent="0.25">
      <c r="A100" s="78" t="s">
        <v>28</v>
      </c>
      <c r="B100" s="97">
        <f>'NEW Summary 1990-2025 GHG'!B21-'NON-ETS &amp; ETS'!B21</f>
        <v>115.54972263611637</v>
      </c>
      <c r="C100" s="97">
        <f>'NEW Summary 1990-2025 GHG'!C21-'NON-ETS &amp; ETS'!C21</f>
        <v>103.86669873793002</v>
      </c>
      <c r="D100" s="97">
        <f>'NEW Summary 1990-2025 GHG'!D21-'NON-ETS &amp; ETS'!D21</f>
        <v>104.2049843328175</v>
      </c>
      <c r="E100" s="97">
        <f>'NEW Summary 1990-2025 GHG'!E21-'NON-ETS &amp; ETS'!E21</f>
        <v>102.97425570313355</v>
      </c>
      <c r="F100" s="97">
        <f>'NEW Summary 1990-2025 GHG'!F21-'NON-ETS &amp; ETS'!F21</f>
        <v>104.83032546301699</v>
      </c>
      <c r="G100" s="97">
        <f>'NEW Summary 1990-2025 GHG'!G21-'NON-ETS &amp; ETS'!G21</f>
        <v>95.448213425978267</v>
      </c>
      <c r="H100" s="97">
        <f>'NEW Summary 1990-2025 GHG'!H21-'NON-ETS &amp; ETS'!H21</f>
        <v>111.07900760029547</v>
      </c>
      <c r="I100" s="97">
        <f>'NEW Summary 1990-2025 GHG'!I21-'NON-ETS &amp; ETS'!I21</f>
        <v>103.3437885310892</v>
      </c>
      <c r="J100" s="97">
        <f>'NEW Summary 1990-2025 GHG'!J21-'NON-ETS &amp; ETS'!J21</f>
        <v>101.97324379802632</v>
      </c>
      <c r="K100" s="97">
        <f>'NEW Summary 1990-2025 GHG'!K21-'NON-ETS &amp; ETS'!K21</f>
        <v>104.05523811024052</v>
      </c>
      <c r="L100" s="97">
        <f>'NEW Summary 1990-2025 GHG'!L21-'NON-ETS &amp; ETS'!L21</f>
        <v>154.76118694999948</v>
      </c>
      <c r="M100" s="97">
        <f>'NEW Summary 1990-2025 GHG'!M21-'NON-ETS &amp; ETS'!M21</f>
        <v>111.06401415208632</v>
      </c>
      <c r="N100" s="97">
        <f>'NEW Summary 1990-2025 GHG'!N21-'NON-ETS &amp; ETS'!N21</f>
        <v>112.31572399117607</v>
      </c>
      <c r="O100" s="97">
        <f>'NEW Summary 1990-2025 GHG'!O21-'NON-ETS &amp; ETS'!O21</f>
        <v>117.16584931873682</v>
      </c>
      <c r="P100" s="97">
        <f>'NEW Summary 1990-2025 GHG'!P21-'NON-ETS &amp; ETS'!P21</f>
        <v>123.96368837568204</v>
      </c>
      <c r="Q100" s="97">
        <f>'NEW Summary 1990-2025 GHG'!Q21-'NON-ETS &amp; ETS'!Q21</f>
        <v>170.9478395393262</v>
      </c>
      <c r="R100" s="97">
        <f>'NEW Summary 1990-2025 GHG'!R21-'NON-ETS &amp; ETS'!R21</f>
        <v>126.99002702645743</v>
      </c>
      <c r="S100" s="97">
        <f>'NEW Summary 1990-2025 GHG'!S21-'NON-ETS &amp; ETS'!S21</f>
        <v>141.77789240934803</v>
      </c>
      <c r="T100" s="97">
        <f>'NEW Summary 1990-2025 GHG'!T21-'NON-ETS &amp; ETS'!T21</f>
        <v>129.67938730143075</v>
      </c>
      <c r="U100" s="97">
        <f>'NEW Summary 1990-2025 GHG'!U21-'NON-ETS &amp; ETS'!U21</f>
        <v>130.29161774117625</v>
      </c>
      <c r="V100" s="97">
        <f>'NEW Summary 1990-2025 GHG'!V21-'NON-ETS &amp; ETS'!V21</f>
        <v>122.52203479167653</v>
      </c>
      <c r="W100" s="97">
        <f>'NEW Summary 1990-2025 GHG'!W21-'NON-ETS &amp; ETS'!W21</f>
        <v>123.24645523778807</v>
      </c>
      <c r="X100" s="97">
        <f>'NEW Summary 1990-2025 GHG'!X21-'NON-ETS &amp; ETS'!X21</f>
        <v>124.80991738706712</v>
      </c>
      <c r="Y100" s="97">
        <f>'NEW Summary 1990-2025 GHG'!Y21-'NON-ETS &amp; ETS'!Y21</f>
        <v>130.97093121609504</v>
      </c>
      <c r="Z100" s="97">
        <f>'NEW Summary 1990-2025 GHG'!Z21-'NON-ETS &amp; ETS'!Z21</f>
        <v>127.19108995840783</v>
      </c>
      <c r="AA100" s="97">
        <f>'NEW Summary 1990-2025 GHG'!AA21-'NON-ETS &amp; ETS'!AA21</f>
        <v>133.91368788481955</v>
      </c>
      <c r="AB100" s="97">
        <f>'NEW Summary 1990-2025 GHG'!AB21-'NON-ETS &amp; ETS'!AB21</f>
        <v>137.37001805921938</v>
      </c>
      <c r="AC100" s="97">
        <f>'NEW Summary 1990-2025 GHG'!AC21-'NON-ETS &amp; ETS'!AC21</f>
        <v>152.98504282858312</v>
      </c>
      <c r="AD100" s="97">
        <f>'NEW Summary 1990-2025 GHG'!AD21-'NON-ETS &amp; ETS'!AD21</f>
        <v>154.45328301743493</v>
      </c>
      <c r="AE100" s="97">
        <f>'NEW Summary 1990-2025 GHG'!AE21-'NON-ETS &amp; ETS'!AE21</f>
        <v>162.27513922862994</v>
      </c>
      <c r="AF100" s="97">
        <f>'NEW Summary 1990-2025 GHG'!AF21-'NON-ETS &amp; ETS'!AF21</f>
        <v>155.20024078043815</v>
      </c>
      <c r="AG100" s="97">
        <f>'NEW Summary 1990-2025 GHG'!AG21-'NON-ETS &amp; ETS'!AG21</f>
        <v>169.85882978109433</v>
      </c>
      <c r="AH100" s="97">
        <f>'NEW Summary 1990-2025 GHG'!AH21-'NON-ETS &amp; ETS'!AH21</f>
        <v>178.9494077163375</v>
      </c>
      <c r="AI100" s="97">
        <f>'NEW Summary 1990-2025 GHG'!AI21-'NON-ETS &amp; ETS'!AI21</f>
        <v>171.14997480533501</v>
      </c>
      <c r="AJ100" s="97">
        <f>'NEW Summary 1990-2025 GHG'!AJ21-'NON-ETS &amp; ETS'!AJ21</f>
        <v>169.68808650936811</v>
      </c>
      <c r="AK100" s="97">
        <f>'NEW Summary 1990-2025 GHG'!AK21-'NON-ETS &amp; ETS'!AK21</f>
        <v>168.04440487585737</v>
      </c>
      <c r="AL100" s="76"/>
      <c r="AM100" s="98">
        <f t="shared" ref="AM100:AM115" si="14">(AK100-AJ100)/AJ100</f>
        <v>-9.6864881166539296E-3</v>
      </c>
      <c r="AO100" s="98">
        <f t="shared" ref="AO100:AO115" si="15">(AK100-Q100)/Q100</f>
        <v>-1.6984330842045536E-2</v>
      </c>
    </row>
    <row r="101" spans="1:41" outlineLevel="1" x14ac:dyDescent="0.25">
      <c r="A101" s="78" t="s">
        <v>29</v>
      </c>
      <c r="B101" s="97">
        <f>'NEW Summary 1990-2025 GHG'!B22-'NON-ETS &amp; ETS'!B22</f>
        <v>27.871110000000002</v>
      </c>
      <c r="C101" s="97">
        <f>'NEW Summary 1990-2025 GHG'!C22-'NON-ETS &amp; ETS'!C22</f>
        <v>28.029314999999997</v>
      </c>
      <c r="D101" s="97">
        <f>'NEW Summary 1990-2025 GHG'!D22-'NON-ETS &amp; ETS'!D22</f>
        <v>28.258274999999998</v>
      </c>
      <c r="E101" s="97">
        <f>'NEW Summary 1990-2025 GHG'!E22-'NON-ETS &amp; ETS'!E22</f>
        <v>28.414095</v>
      </c>
      <c r="F101" s="97">
        <f>'NEW Summary 1990-2025 GHG'!F22-'NON-ETS &amp; ETS'!F22</f>
        <v>28.507904999999997</v>
      </c>
      <c r="G101" s="97">
        <f>'NEW Summary 1990-2025 GHG'!G22-'NON-ETS &amp; ETS'!G22</f>
        <v>28.630334999999999</v>
      </c>
      <c r="H101" s="97">
        <f>'NEW Summary 1990-2025 GHG'!H22-'NON-ETS &amp; ETS'!H22</f>
        <v>28.827494999999999</v>
      </c>
      <c r="I101" s="97">
        <f>'NEW Summary 1990-2025 GHG'!I22-'NON-ETS &amp; ETS'!I22</f>
        <v>29.131184999999999</v>
      </c>
      <c r="J101" s="97">
        <f>'NEW Summary 1990-2025 GHG'!J22-'NON-ETS &amp; ETS'!J22</f>
        <v>29.439644999999995</v>
      </c>
      <c r="K101" s="97">
        <f>'NEW Summary 1990-2025 GHG'!K22-'NON-ETS &amp; ETS'!K22</f>
        <v>29.745719999999995</v>
      </c>
      <c r="L101" s="97">
        <f>'NEW Summary 1990-2025 GHG'!L22-'NON-ETS &amp; ETS'!L22</f>
        <v>30.126525000000001</v>
      </c>
      <c r="M101" s="97">
        <f>'NEW Summary 1990-2025 GHG'!M22-'NON-ETS &amp; ETS'!M22</f>
        <v>30.585239999999999</v>
      </c>
      <c r="N101" s="97">
        <f>'NEW Summary 1990-2025 GHG'!N22-'NON-ETS &amp; ETS'!N22</f>
        <v>31.141739999999999</v>
      </c>
      <c r="O101" s="97">
        <f>'NEW Summary 1990-2025 GHG'!O22-'NON-ETS &amp; ETS'!O22</f>
        <v>31.640204999999998</v>
      </c>
      <c r="P101" s="97">
        <f>'NEW Summary 1990-2025 GHG'!P22-'NON-ETS &amp; ETS'!P22</f>
        <v>32.15934</v>
      </c>
      <c r="Q101" s="97">
        <f>'NEW Summary 1990-2025 GHG'!Q22-'NON-ETS &amp; ETS'!Q22</f>
        <v>32.863709999999998</v>
      </c>
      <c r="R101" s="97">
        <f>'NEW Summary 1990-2025 GHG'!R22-'NON-ETS &amp; ETS'!R22</f>
        <v>33.651554999999995</v>
      </c>
      <c r="S101" s="97">
        <f>'NEW Summary 1990-2025 GHG'!S22-'NON-ETS &amp; ETS'!S22</f>
        <v>34.787610000000001</v>
      </c>
      <c r="T101" s="97">
        <f>'NEW Summary 1990-2025 GHG'!T22-'NON-ETS &amp; ETS'!T22</f>
        <v>35.656545000000001</v>
      </c>
      <c r="U101" s="97">
        <f>'NEW Summary 1990-2025 GHG'!U22-'NON-ETS &amp; ETS'!U22</f>
        <v>36.040529999999997</v>
      </c>
      <c r="V101" s="97">
        <f>'NEW Summary 1990-2025 GHG'!V22-'NON-ETS &amp; ETS'!V22</f>
        <v>36.210660000000004</v>
      </c>
      <c r="W101" s="97">
        <f>'NEW Summary 1990-2025 GHG'!W22-'NON-ETS &amp; ETS'!W22</f>
        <v>36.370454999999993</v>
      </c>
      <c r="X101" s="97">
        <f>'NEW Summary 1990-2025 GHG'!X22-'NON-ETS &amp; ETS'!X22</f>
        <v>36.519914999999997</v>
      </c>
      <c r="Y101" s="97">
        <f>'NEW Summary 1990-2025 GHG'!Y22-'NON-ETS &amp; ETS'!Y22</f>
        <v>36.686865000000004</v>
      </c>
      <c r="Z101" s="97">
        <f>'NEW Summary 1990-2025 GHG'!Z22-'NON-ETS &amp; ETS'!Z22</f>
        <v>36.930929999999996</v>
      </c>
      <c r="AA101" s="97">
        <f>'NEW Summary 1990-2025 GHG'!AA22-'NON-ETS &amp; ETS'!AA22</f>
        <v>37.268009999999997</v>
      </c>
      <c r="AB101" s="97">
        <f>'NEW Summary 1990-2025 GHG'!AB22-'NON-ETS &amp; ETS'!AB22</f>
        <v>37.679819999999999</v>
      </c>
      <c r="AC101" s="97">
        <f>'NEW Summary 1990-2025 GHG'!AC22-'NON-ETS &amp; ETS'!AC22</f>
        <v>38.246654999999997</v>
      </c>
      <c r="AD101" s="97">
        <f>'NEW Summary 1990-2025 GHG'!AD22-'NON-ETS &amp; ETS'!AD22</f>
        <v>38.834955000000001</v>
      </c>
      <c r="AE101" s="97">
        <f>'NEW Summary 1990-2025 GHG'!AE22-'NON-ETS &amp; ETS'!AE22</f>
        <v>39.420074999999997</v>
      </c>
      <c r="AF101" s="97">
        <f>'NEW Summary 1990-2025 GHG'!AF22-'NON-ETS &amp; ETS'!AF22</f>
        <v>39.987704999999998</v>
      </c>
      <c r="AG101" s="97">
        <f>'NEW Summary 1990-2025 GHG'!AG22-'NON-ETS &amp; ETS'!AG22</f>
        <v>40.343864999999994</v>
      </c>
      <c r="AH101" s="97">
        <f>'NEW Summary 1990-2025 GHG'!AH22-'NON-ETS &amp; ETS'!AH22</f>
        <v>41.212799999999994</v>
      </c>
      <c r="AI101" s="97">
        <f>'NEW Summary 1990-2025 GHG'!AI22-'NON-ETS &amp; ETS'!AI22</f>
        <v>41.988720000000001</v>
      </c>
      <c r="AJ101" s="97">
        <f>'NEW Summary 1990-2025 GHG'!AJ22-'NON-ETS &amp; ETS'!AJ22</f>
        <v>42.773384999999998</v>
      </c>
      <c r="AK101" s="97">
        <f>'NEW Summary 1990-2025 GHG'!AK22-'NON-ETS &amp; ETS'!AK22</f>
        <v>43.395870000000002</v>
      </c>
      <c r="AL101" s="76"/>
      <c r="AM101" s="98">
        <f t="shared" si="14"/>
        <v>1.4553091835027895E-2</v>
      </c>
      <c r="AO101" s="98">
        <f t="shared" si="15"/>
        <v>0.32047994581256972</v>
      </c>
    </row>
    <row r="102" spans="1:41" x14ac:dyDescent="0.25">
      <c r="A102" s="82" t="s">
        <v>30</v>
      </c>
      <c r="B102" s="75">
        <f>'NEW Summary 1990-2025 GHG'!B23-'NON-ETS &amp; ETS'!B23</f>
        <v>35.524187103957608</v>
      </c>
      <c r="C102" s="75">
        <f>'NEW Summary 1990-2025 GHG'!C23-'NON-ETS &amp; ETS'!C23</f>
        <v>49.661994466251372</v>
      </c>
      <c r="D102" s="75">
        <f>'NEW Summary 1990-2025 GHG'!D23-'NON-ETS &amp; ETS'!D23</f>
        <v>63.799610544922189</v>
      </c>
      <c r="E102" s="75">
        <f>'NEW Summary 1990-2025 GHG'!E23-'NON-ETS &amp; ETS'!E23</f>
        <v>96.561008915301926</v>
      </c>
      <c r="F102" s="75">
        <f>'NEW Summary 1990-2025 GHG'!F23-'NON-ETS &amp; ETS'!F23</f>
        <v>135.26066400240859</v>
      </c>
      <c r="G102" s="75">
        <f>'NEW Summary 1990-2025 GHG'!G23-'NON-ETS &amp; ETS'!G23</f>
        <v>205.45058843855244</v>
      </c>
      <c r="H102" s="75">
        <f>'NEW Summary 1990-2025 GHG'!H23-'NON-ETS &amp; ETS'!H23</f>
        <v>299.64319190246647</v>
      </c>
      <c r="I102" s="75">
        <f>'NEW Summary 1990-2025 GHG'!I23-'NON-ETS &amp; ETS'!I23</f>
        <v>405.87354525393033</v>
      </c>
      <c r="J102" s="75">
        <f>'NEW Summary 1990-2025 GHG'!J23-'NON-ETS &amp; ETS'!J23</f>
        <v>310.8520087031024</v>
      </c>
      <c r="K102" s="75">
        <f>'NEW Summary 1990-2025 GHG'!K23-'NON-ETS &amp; ETS'!K23</f>
        <v>488.16084411976902</v>
      </c>
      <c r="L102" s="75">
        <f>'NEW Summary 1990-2025 GHG'!L23-'NON-ETS &amp; ETS'!L23</f>
        <v>706.98944973303674</v>
      </c>
      <c r="M102" s="75">
        <f>'NEW Summary 1990-2025 GHG'!M23-'NON-ETS &amp; ETS'!M23</f>
        <v>725.27197897556402</v>
      </c>
      <c r="N102" s="75">
        <f>'NEW Summary 1990-2025 GHG'!N23-'NON-ETS &amp; ETS'!N23</f>
        <v>724.27530595860844</v>
      </c>
      <c r="O102" s="75">
        <f>'NEW Summary 1990-2025 GHG'!O23-'NON-ETS &amp; ETS'!O23</f>
        <v>915.61564441666962</v>
      </c>
      <c r="P102" s="75">
        <f>'NEW Summary 1990-2025 GHG'!P23-'NON-ETS &amp; ETS'!P23</f>
        <v>941.02099530254043</v>
      </c>
      <c r="Q102" s="75">
        <f>'NEW Summary 1990-2025 GHG'!Q23-'NON-ETS &amp; ETS'!Q23</f>
        <v>1123.7330455373408</v>
      </c>
      <c r="R102" s="75">
        <f>'NEW Summary 1990-2025 GHG'!R23-'NON-ETS &amp; ETS'!R23</f>
        <v>1105.9131506090259</v>
      </c>
      <c r="S102" s="75">
        <f>'NEW Summary 1990-2025 GHG'!S23-'NON-ETS &amp; ETS'!S23</f>
        <v>1106.3151200833511</v>
      </c>
      <c r="T102" s="75">
        <f>'NEW Summary 1990-2025 GHG'!T23-'NON-ETS &amp; ETS'!T23</f>
        <v>1133.5310193940597</v>
      </c>
      <c r="U102" s="75">
        <f>'NEW Summary 1990-2025 GHG'!U23-'NON-ETS &amp; ETS'!U23</f>
        <v>1101.9758335651327</v>
      </c>
      <c r="V102" s="75">
        <f>'NEW Summary 1990-2025 GHG'!V23-'NON-ETS &amp; ETS'!V23</f>
        <v>1066.0954511931914</v>
      </c>
      <c r="W102" s="75">
        <f>'NEW Summary 1990-2025 GHG'!W23-'NON-ETS &amp; ETS'!W23</f>
        <v>1070.8006655506517</v>
      </c>
      <c r="X102" s="75">
        <f>'NEW Summary 1990-2025 GHG'!X23-'NON-ETS &amp; ETS'!X23</f>
        <v>1043.5836093635819</v>
      </c>
      <c r="Y102" s="75">
        <f>'NEW Summary 1990-2025 GHG'!Y23-'NON-ETS &amp; ETS'!Y23</f>
        <v>1072.1872664719847</v>
      </c>
      <c r="Z102" s="75">
        <f>'NEW Summary 1990-2025 GHG'!Z23-'NON-ETS &amp; ETS'!Z23</f>
        <v>1134.3868508431085</v>
      </c>
      <c r="AA102" s="75">
        <f>'NEW Summary 1990-2025 GHG'!AA23-'NON-ETS &amp; ETS'!AA23</f>
        <v>1130.6423607181532</v>
      </c>
      <c r="AB102" s="75">
        <f>'NEW Summary 1990-2025 GHG'!AB23-'NON-ETS &amp; ETS'!AB23</f>
        <v>1204.1511795314182</v>
      </c>
      <c r="AC102" s="75">
        <f>'NEW Summary 1990-2025 GHG'!AC23-'NON-ETS &amp; ETS'!AC23</f>
        <v>1136.8766238833434</v>
      </c>
      <c r="AD102" s="75">
        <f>'NEW Summary 1990-2025 GHG'!AD23-'NON-ETS &amp; ETS'!AD23</f>
        <v>831.80380701398747</v>
      </c>
      <c r="AE102" s="75">
        <f>'NEW Summary 1990-2025 GHG'!AE23-'NON-ETS &amp; ETS'!AE23</f>
        <v>808.6767930675195</v>
      </c>
      <c r="AF102" s="75">
        <f>'NEW Summary 1990-2025 GHG'!AF23-'NON-ETS &amp; ETS'!AF23</f>
        <v>648.2464309277068</v>
      </c>
      <c r="AG102" s="75">
        <f>'NEW Summary 1990-2025 GHG'!AG23-'NON-ETS &amp; ETS'!AG23</f>
        <v>692.62625692686925</v>
      </c>
      <c r="AH102" s="75">
        <f>'NEW Summary 1990-2025 GHG'!AH23-'NON-ETS &amp; ETS'!AH23</f>
        <v>658.98618090990965</v>
      </c>
      <c r="AI102" s="75">
        <f>'NEW Summary 1990-2025 GHG'!AI23-'NON-ETS &amp; ETS'!AI23</f>
        <v>604.65195289734368</v>
      </c>
      <c r="AJ102" s="75">
        <f>'NEW Summary 1990-2025 GHG'!AJ23-'NON-ETS &amp; ETS'!AJ23</f>
        <v>603.38505613479037</v>
      </c>
      <c r="AK102" s="75">
        <f>'NEW Summary 1990-2025 GHG'!AK23-'NON-ETS &amp; ETS'!AK23</f>
        <v>636.10671305374433</v>
      </c>
      <c r="AL102" s="76"/>
      <c r="AM102" s="77">
        <f t="shared" si="14"/>
        <v>5.4230141410138356E-2</v>
      </c>
      <c r="AO102" s="77">
        <f t="shared" si="15"/>
        <v>-0.43393431778134267</v>
      </c>
    </row>
    <row r="103" spans="1:41" x14ac:dyDescent="0.25">
      <c r="A103" s="82" t="s">
        <v>31</v>
      </c>
      <c r="B103" s="75">
        <f t="shared" ref="B103:AB103" si="16">SUM(B104:B110)</f>
        <v>20570.904991976302</v>
      </c>
      <c r="C103" s="75">
        <f t="shared" si="16"/>
        <v>20707.377835024476</v>
      </c>
      <c r="D103" s="75">
        <f t="shared" si="16"/>
        <v>20839.224016985278</v>
      </c>
      <c r="E103" s="75">
        <f t="shared" si="16"/>
        <v>21084.457489698871</v>
      </c>
      <c r="F103" s="75">
        <f t="shared" si="16"/>
        <v>21225.841218929974</v>
      </c>
      <c r="G103" s="75">
        <f t="shared" si="16"/>
        <v>21867.860882532965</v>
      </c>
      <c r="H103" s="75">
        <f t="shared" si="16"/>
        <v>22075.445413414665</v>
      </c>
      <c r="I103" s="75">
        <f t="shared" si="16"/>
        <v>22183.480286125068</v>
      </c>
      <c r="J103" s="75">
        <f t="shared" si="16"/>
        <v>22612.673210015339</v>
      </c>
      <c r="K103" s="75">
        <f t="shared" si="16"/>
        <v>22266.719047496717</v>
      </c>
      <c r="L103" s="75">
        <f t="shared" si="16"/>
        <v>21335.008709033813</v>
      </c>
      <c r="M103" s="75">
        <f t="shared" si="16"/>
        <v>21033.202142485869</v>
      </c>
      <c r="N103" s="75">
        <f t="shared" si="16"/>
        <v>20706.626835964977</v>
      </c>
      <c r="O103" s="75">
        <f t="shared" si="16"/>
        <v>20996.159520189023</v>
      </c>
      <c r="P103" s="75">
        <f t="shared" si="16"/>
        <v>20651.404618255361</v>
      </c>
      <c r="Q103" s="75">
        <f t="shared" si="16"/>
        <v>20183.732962774309</v>
      </c>
      <c r="R103" s="75">
        <f t="shared" si="16"/>
        <v>19766.098255647201</v>
      </c>
      <c r="S103" s="75">
        <f t="shared" si="16"/>
        <v>19628.476137904887</v>
      </c>
      <c r="T103" s="75">
        <f t="shared" si="16"/>
        <v>19260.4113190346</v>
      </c>
      <c r="U103" s="75">
        <f t="shared" si="16"/>
        <v>18844.471615666589</v>
      </c>
      <c r="V103" s="75">
        <f t="shared" si="16"/>
        <v>18988.314346678682</v>
      </c>
      <c r="W103" s="75">
        <f t="shared" si="16"/>
        <v>18557.33832030421</v>
      </c>
      <c r="X103" s="75">
        <f t="shared" si="16"/>
        <v>18859.233411157347</v>
      </c>
      <c r="Y103" s="75">
        <f t="shared" si="16"/>
        <v>19448.636013942163</v>
      </c>
      <c r="Z103" s="75">
        <f t="shared" si="16"/>
        <v>19526.565007102839</v>
      </c>
      <c r="AA103" s="75">
        <f t="shared" si="16"/>
        <v>19920.550163026874</v>
      </c>
      <c r="AB103" s="75">
        <f t="shared" si="16"/>
        <v>20507.605954074821</v>
      </c>
      <c r="AC103" s="75">
        <f t="shared" ref="AC103:AK103" si="17">SUM(AC104:AC110)</f>
        <v>21126.957903529936</v>
      </c>
      <c r="AD103" s="75">
        <f t="shared" si="17"/>
        <v>21402.383015470303</v>
      </c>
      <c r="AE103" s="75">
        <f t="shared" si="17"/>
        <v>21283.511936701434</v>
      </c>
      <c r="AF103" s="75">
        <f t="shared" si="17"/>
        <v>21588.362732753743</v>
      </c>
      <c r="AG103" s="75">
        <f t="shared" si="17"/>
        <v>21967.614528787839</v>
      </c>
      <c r="AH103" s="75">
        <f t="shared" si="17"/>
        <v>21779.867224278667</v>
      </c>
      <c r="AI103" s="75">
        <f t="shared" si="17"/>
        <v>20719.546534732603</v>
      </c>
      <c r="AJ103" s="75">
        <f t="shared" si="17"/>
        <v>20435.676852595858</v>
      </c>
      <c r="AK103" s="75">
        <f t="shared" si="17"/>
        <v>20398.448033618672</v>
      </c>
      <c r="AL103" s="76"/>
      <c r="AM103" s="77">
        <f t="shared" si="14"/>
        <v>-1.8217561006528221E-3</v>
      </c>
      <c r="AO103" s="77">
        <f t="shared" si="15"/>
        <v>1.0638025742828157E-2</v>
      </c>
    </row>
    <row r="104" spans="1:41" outlineLevel="1" x14ac:dyDescent="0.25">
      <c r="A104" s="78" t="s">
        <v>32</v>
      </c>
      <c r="B104" s="97">
        <f>'NEW Summary 1990-2025 GHG'!B25-'NON-ETS &amp; ETS'!B25</f>
        <v>12480.172254775534</v>
      </c>
      <c r="C104" s="97">
        <f>'NEW Summary 1990-2025 GHG'!C25-'NON-ETS &amp; ETS'!C25</f>
        <v>12637.185400482977</v>
      </c>
      <c r="D104" s="97">
        <f>'NEW Summary 1990-2025 GHG'!D25-'NON-ETS &amp; ETS'!D25</f>
        <v>12829.661388949207</v>
      </c>
      <c r="E104" s="97">
        <f>'NEW Summary 1990-2025 GHG'!E25-'NON-ETS &amp; ETS'!E25</f>
        <v>12832.961327585786</v>
      </c>
      <c r="F104" s="97">
        <f>'NEW Summary 1990-2025 GHG'!F25-'NON-ETS &amp; ETS'!F25</f>
        <v>12783.895165753058</v>
      </c>
      <c r="G104" s="97">
        <f>'NEW Summary 1990-2025 GHG'!G25-'NON-ETS &amp; ETS'!G25</f>
        <v>12826.69675958985</v>
      </c>
      <c r="H104" s="97">
        <f>'NEW Summary 1990-2025 GHG'!H25-'NON-ETS &amp; ETS'!H25</f>
        <v>13171.052879886071</v>
      </c>
      <c r="I104" s="97">
        <f>'NEW Summary 1990-2025 GHG'!I25-'NON-ETS &amp; ETS'!I25</f>
        <v>13456.31261039856</v>
      </c>
      <c r="J104" s="97">
        <f>'NEW Summary 1990-2025 GHG'!J25-'NON-ETS &amp; ETS'!J25</f>
        <v>13635.427259586366</v>
      </c>
      <c r="K104" s="97">
        <f>'NEW Summary 1990-2025 GHG'!K25-'NON-ETS &amp; ETS'!K25</f>
        <v>13255.947013862778</v>
      </c>
      <c r="L104" s="97">
        <f>'NEW Summary 1990-2025 GHG'!L25-'NON-ETS &amp; ETS'!L25</f>
        <v>12685.166488716532</v>
      </c>
      <c r="M104" s="97">
        <f>'NEW Summary 1990-2025 GHG'!M25-'NON-ETS &amp; ETS'!M25</f>
        <v>12595.141690442057</v>
      </c>
      <c r="N104" s="97">
        <f>'NEW Summary 1990-2025 GHG'!N25-'NON-ETS &amp; ETS'!N25</f>
        <v>12456.879348700151</v>
      </c>
      <c r="O104" s="97">
        <f>'NEW Summary 1990-2025 GHG'!O25-'NON-ETS &amp; ETS'!O25</f>
        <v>12439.716020069503</v>
      </c>
      <c r="P104" s="97">
        <f>'NEW Summary 1990-2025 GHG'!P25-'NON-ETS &amp; ETS'!P25</f>
        <v>12398.020226636896</v>
      </c>
      <c r="Q104" s="97">
        <f>'NEW Summary 1990-2025 GHG'!Q25-'NON-ETS &amp; ETS'!Q25</f>
        <v>12016.18723329971</v>
      </c>
      <c r="R104" s="97">
        <f>'NEW Summary 1990-2025 GHG'!R25-'NON-ETS &amp; ETS'!R25</f>
        <v>11834.227430297326</v>
      </c>
      <c r="S104" s="97">
        <f>'NEW Summary 1990-2025 GHG'!S25-'NON-ETS &amp; ETS'!S25</f>
        <v>11761.129885381855</v>
      </c>
      <c r="T104" s="97">
        <f>'NEW Summary 1990-2025 GHG'!T25-'NON-ETS &amp; ETS'!T25</f>
        <v>11612.331058102023</v>
      </c>
      <c r="U104" s="97">
        <f>'NEW Summary 1990-2025 GHG'!U25-'NON-ETS &amp; ETS'!U25</f>
        <v>11403.602820352538</v>
      </c>
      <c r="V104" s="97">
        <f>'NEW Summary 1990-2025 GHG'!V25-'NON-ETS &amp; ETS'!V25</f>
        <v>11205.417874590234</v>
      </c>
      <c r="W104" s="97">
        <f>'NEW Summary 1990-2025 GHG'!W25-'NON-ETS &amp; ETS'!W25</f>
        <v>11247.423461791974</v>
      </c>
      <c r="X104" s="97">
        <f>'NEW Summary 1990-2025 GHG'!X25-'NON-ETS &amp; ETS'!X25</f>
        <v>11565.560327349578</v>
      </c>
      <c r="Y104" s="97">
        <f>'NEW Summary 1990-2025 GHG'!Y25-'NON-ETS &amp; ETS'!Y25</f>
        <v>11596.485149457974</v>
      </c>
      <c r="Z104" s="97">
        <f>'NEW Summary 1990-2025 GHG'!Z25-'NON-ETS &amp; ETS'!Z25</f>
        <v>11901.192075200464</v>
      </c>
      <c r="AA104" s="97">
        <f>'NEW Summary 1990-2025 GHG'!AA25-'NON-ETS &amp; ETS'!AA25</f>
        <v>12226.016539933107</v>
      </c>
      <c r="AB104" s="97">
        <f>'NEW Summary 1990-2025 GHG'!AB25-'NON-ETS &amp; ETS'!AB25</f>
        <v>12628.465103097811</v>
      </c>
      <c r="AC104" s="97">
        <f>'NEW Summary 1990-2025 GHG'!AC25-'NON-ETS &amp; ETS'!AC25</f>
        <v>12977.795392757302</v>
      </c>
      <c r="AD104" s="97">
        <f>'NEW Summary 1990-2025 GHG'!AD25-'NON-ETS &amp; ETS'!AD25</f>
        <v>12916.599385858823</v>
      </c>
      <c r="AE104" s="97">
        <f>'NEW Summary 1990-2025 GHG'!AE25-'NON-ETS &amp; ETS'!AE25</f>
        <v>13091.203534766764</v>
      </c>
      <c r="AF104" s="97">
        <f>'NEW Summary 1990-2025 GHG'!AF25-'NON-ETS &amp; ETS'!AF25</f>
        <v>13260.189768763996</v>
      </c>
      <c r="AG104" s="97">
        <f>'NEW Summary 1990-2025 GHG'!AG25-'NON-ETS &amp; ETS'!AG25</f>
        <v>13328.638890777194</v>
      </c>
      <c r="AH104" s="97">
        <f>'NEW Summary 1990-2025 GHG'!AH25-'NON-ETS &amp; ETS'!AH25</f>
        <v>13356.734293082372</v>
      </c>
      <c r="AI104" s="97">
        <f>'NEW Summary 1990-2025 GHG'!AI25-'NON-ETS &amp; ETS'!AI25</f>
        <v>13059.766159156707</v>
      </c>
      <c r="AJ104" s="97">
        <f>'NEW Summary 1990-2025 GHG'!AJ25-'NON-ETS &amp; ETS'!AJ25</f>
        <v>12696.142673001888</v>
      </c>
      <c r="AK104" s="97">
        <f>'NEW Summary 1990-2025 GHG'!AK25-'NON-ETS &amp; ETS'!AK25</f>
        <v>12473.615496901708</v>
      </c>
      <c r="AL104" s="76"/>
      <c r="AM104" s="98">
        <f t="shared" si="14"/>
        <v>-1.7527148349819693E-2</v>
      </c>
      <c r="AO104" s="98">
        <f t="shared" si="15"/>
        <v>3.8067671110712686E-2</v>
      </c>
    </row>
    <row r="105" spans="1:41" outlineLevel="1" x14ac:dyDescent="0.25">
      <c r="A105" s="78" t="s">
        <v>33</v>
      </c>
      <c r="B105" s="97">
        <f>'NEW Summary 1990-2025 GHG'!B26-'NON-ETS &amp; ETS'!B26</f>
        <v>2434.7075801506553</v>
      </c>
      <c r="C105" s="97">
        <f>'NEW Summary 1990-2025 GHG'!C26-'NON-ETS &amp; ETS'!C26</f>
        <v>2457.3114020230328</v>
      </c>
      <c r="D105" s="97">
        <f>'NEW Summary 1990-2025 GHG'!D26-'NON-ETS &amp; ETS'!D26</f>
        <v>2503.8510309725561</v>
      </c>
      <c r="E105" s="97">
        <f>'NEW Summary 1990-2025 GHG'!E26-'NON-ETS &amp; ETS'!E26</f>
        <v>2504.4712621407266</v>
      </c>
      <c r="F105" s="97">
        <f>'NEW Summary 1990-2025 GHG'!F26-'NON-ETS &amp; ETS'!F26</f>
        <v>2489.9414161764548</v>
      </c>
      <c r="G105" s="97">
        <f>'NEW Summary 1990-2025 GHG'!G26-'NON-ETS &amp; ETS'!G26</f>
        <v>2496.4807867055956</v>
      </c>
      <c r="H105" s="97">
        <f>'NEW Summary 1990-2025 GHG'!H26-'NON-ETS &amp; ETS'!H26</f>
        <v>2584.336278134816</v>
      </c>
      <c r="I105" s="97">
        <f>'NEW Summary 1990-2025 GHG'!I26-'NON-ETS &amp; ETS'!I26</f>
        <v>2642.3626309754627</v>
      </c>
      <c r="J105" s="97">
        <f>'NEW Summary 1990-2025 GHG'!J26-'NON-ETS &amp; ETS'!J26</f>
        <v>2667.2714256968661</v>
      </c>
      <c r="K105" s="97">
        <f>'NEW Summary 1990-2025 GHG'!K26-'NON-ETS &amp; ETS'!K26</f>
        <v>2576.4610982142526</v>
      </c>
      <c r="L105" s="97">
        <f>'NEW Summary 1990-2025 GHG'!L26-'NON-ETS &amp; ETS'!L26</f>
        <v>2462.6894970797812</v>
      </c>
      <c r="M105" s="97">
        <f>'NEW Summary 1990-2025 GHG'!M26-'NON-ETS &amp; ETS'!M26</f>
        <v>2469.8085449805321</v>
      </c>
      <c r="N105" s="97">
        <f>'NEW Summary 1990-2025 GHG'!N26-'NON-ETS &amp; ETS'!N26</f>
        <v>2461.2517968957695</v>
      </c>
      <c r="O105" s="97">
        <f>'NEW Summary 1990-2025 GHG'!O26-'NON-ETS &amp; ETS'!O26</f>
        <v>2431.5576174951302</v>
      </c>
      <c r="P105" s="97">
        <f>'NEW Summary 1990-2025 GHG'!P26-'NON-ETS &amp; ETS'!P26</f>
        <v>2417.3540189980376</v>
      </c>
      <c r="Q105" s="97">
        <f>'NEW Summary 1990-2025 GHG'!Q26-'NON-ETS &amp; ETS'!Q26</f>
        <v>2395.5352558051754</v>
      </c>
      <c r="R105" s="97">
        <f>'NEW Summary 1990-2025 GHG'!R26-'NON-ETS &amp; ETS'!R26</f>
        <v>2331.5425332566238</v>
      </c>
      <c r="S105" s="97">
        <f>'NEW Summary 1990-2025 GHG'!S26-'NON-ETS &amp; ETS'!S26</f>
        <v>2342.6321426089658</v>
      </c>
      <c r="T105" s="97">
        <f>'NEW Summary 1990-2025 GHG'!T26-'NON-ETS &amp; ETS'!T26</f>
        <v>2304.0851228253532</v>
      </c>
      <c r="U105" s="97">
        <f>'NEW Summary 1990-2025 GHG'!U26-'NON-ETS &amp; ETS'!U26</f>
        <v>2291.3742233409066</v>
      </c>
      <c r="V105" s="97">
        <f>'NEW Summary 1990-2025 GHG'!V26-'NON-ETS &amp; ETS'!V26</f>
        <v>2280.8294106205844</v>
      </c>
      <c r="W105" s="97">
        <f>'NEW Summary 1990-2025 GHG'!W26-'NON-ETS &amp; ETS'!W26</f>
        <v>2309.6220542657766</v>
      </c>
      <c r="X105" s="97">
        <f>'NEW Summary 1990-2025 GHG'!X26-'NON-ETS &amp; ETS'!X26</f>
        <v>2366.177139576168</v>
      </c>
      <c r="Y105" s="97">
        <f>'NEW Summary 1990-2025 GHG'!Y26-'NON-ETS &amp; ETS'!Y26</f>
        <v>2364.1387140181132</v>
      </c>
      <c r="Z105" s="97">
        <f>'NEW Summary 1990-2025 GHG'!Z26-'NON-ETS &amp; ETS'!Z26</f>
        <v>2449.4707275269693</v>
      </c>
      <c r="AA105" s="97">
        <f>'NEW Summary 1990-2025 GHG'!AA26-'NON-ETS &amp; ETS'!AA26</f>
        <v>2499.7770484891071</v>
      </c>
      <c r="AB105" s="97">
        <f>'NEW Summary 1990-2025 GHG'!AB26-'NON-ETS &amp; ETS'!AB26</f>
        <v>2547.1748105915672</v>
      </c>
      <c r="AC105" s="97">
        <f>'NEW Summary 1990-2025 GHG'!AC26-'NON-ETS &amp; ETS'!AC26</f>
        <v>2638.5795540514932</v>
      </c>
      <c r="AD105" s="97">
        <f>'NEW Summary 1990-2025 GHG'!AD26-'NON-ETS &amp; ETS'!AD26</f>
        <v>2567.3395304357969</v>
      </c>
      <c r="AE105" s="97">
        <f>'NEW Summary 1990-2025 GHG'!AE26-'NON-ETS &amp; ETS'!AE26</f>
        <v>2609.3805746456514</v>
      </c>
      <c r="AF105" s="97">
        <f>'NEW Summary 1990-2025 GHG'!AF26-'NON-ETS &amp; ETS'!AF26</f>
        <v>2594.0681608686887</v>
      </c>
      <c r="AG105" s="97">
        <f>'NEW Summary 1990-2025 GHG'!AG26-'NON-ETS &amp; ETS'!AG26</f>
        <v>2550.6684563413651</v>
      </c>
      <c r="AH105" s="97">
        <f>'NEW Summary 1990-2025 GHG'!AH26-'NON-ETS &amp; ETS'!AH26</f>
        <v>2510.6688569834532</v>
      </c>
      <c r="AI105" s="97">
        <f>'NEW Summary 1990-2025 GHG'!AI26-'NON-ETS &amp; ETS'!AI26</f>
        <v>2453.0350873114726</v>
      </c>
      <c r="AJ105" s="97">
        <f>'NEW Summary 1990-2025 GHG'!AJ26-'NON-ETS &amp; ETS'!AJ26</f>
        <v>2405.5508012175637</v>
      </c>
      <c r="AK105" s="97">
        <f>'NEW Summary 1990-2025 GHG'!AK26-'NON-ETS &amp; ETS'!AK26</f>
        <v>2367.937900623916</v>
      </c>
      <c r="AL105" s="76"/>
      <c r="AM105" s="98">
        <f t="shared" si="14"/>
        <v>-1.5635878724577366E-2</v>
      </c>
      <c r="AO105" s="98">
        <f t="shared" si="15"/>
        <v>-1.1520329377070078E-2</v>
      </c>
    </row>
    <row r="106" spans="1:41" outlineLevel="1" x14ac:dyDescent="0.25">
      <c r="A106" s="78" t="s">
        <v>34</v>
      </c>
      <c r="B106" s="97">
        <f>'NEW Summary 1990-2025 GHG'!B27-'NON-ETS &amp; ETS'!B27</f>
        <v>4393.4413467377981</v>
      </c>
      <c r="C106" s="97">
        <f>'NEW Summary 1990-2025 GHG'!C27-'NON-ETS &amp; ETS'!C27</f>
        <v>4352.3453208914807</v>
      </c>
      <c r="D106" s="97">
        <f>'NEW Summary 1990-2025 GHG'!D27-'NON-ETS &amp; ETS'!D27</f>
        <v>4269.6658964782846</v>
      </c>
      <c r="E106" s="97">
        <f>'NEW Summary 1990-2025 GHG'!E27-'NON-ETS &amp; ETS'!E27</f>
        <v>4411.9768517666353</v>
      </c>
      <c r="F106" s="97">
        <f>'NEW Summary 1990-2025 GHG'!F27-'NON-ETS &amp; ETS'!F27</f>
        <v>4596.7097654617337</v>
      </c>
      <c r="G106" s="97">
        <f>'NEW Summary 1990-2025 GHG'!G27-'NON-ETS &amp; ETS'!G27</f>
        <v>4807.654486726864</v>
      </c>
      <c r="H106" s="97">
        <f>'NEW Summary 1990-2025 GHG'!H27-'NON-ETS &amp; ETS'!H27</f>
        <v>4810.5902944134814</v>
      </c>
      <c r="I106" s="97">
        <f>'NEW Summary 1990-2025 GHG'!I27-'NON-ETS &amp; ETS'!I27</f>
        <v>4628.6236649351349</v>
      </c>
      <c r="J106" s="97">
        <f>'NEW Summary 1990-2025 GHG'!J27-'NON-ETS &amp; ETS'!J27</f>
        <v>4953.3814560378632</v>
      </c>
      <c r="K106" s="97">
        <f>'NEW Summary 1990-2025 GHG'!K27-'NON-ETS &amp; ETS'!K27</f>
        <v>4962.2173758011249</v>
      </c>
      <c r="L106" s="97">
        <f>'NEW Summary 1990-2025 GHG'!L27-'NON-ETS &amp; ETS'!L27</f>
        <v>4715.383103685177</v>
      </c>
      <c r="M106" s="97">
        <f>'NEW Summary 1990-2025 GHG'!M27-'NON-ETS &amp; ETS'!M27</f>
        <v>4473.4348303080533</v>
      </c>
      <c r="N106" s="97">
        <f>'NEW Summary 1990-2025 GHG'!N27-'NON-ETS &amp; ETS'!N27</f>
        <v>4420.6992020154785</v>
      </c>
      <c r="O106" s="97">
        <f>'NEW Summary 1990-2025 GHG'!O27-'NON-ETS &amp; ETS'!O27</f>
        <v>4599.7719469216572</v>
      </c>
      <c r="P106" s="97">
        <f>'NEW Summary 1990-2025 GHG'!P27-'NON-ETS &amp; ETS'!P27</f>
        <v>4487.2578719429275</v>
      </c>
      <c r="Q106" s="97">
        <f>'NEW Summary 1990-2025 GHG'!Q27-'NON-ETS &amp; ETS'!Q27</f>
        <v>4355.8220503988614</v>
      </c>
      <c r="R106" s="97">
        <f>'NEW Summary 1990-2025 GHG'!R27-'NON-ETS &amp; ETS'!R27</f>
        <v>4246.5663355704382</v>
      </c>
      <c r="S106" s="97">
        <f>'NEW Summary 1990-2025 GHG'!S27-'NON-ETS &amp; ETS'!S27</f>
        <v>4117.3205028833117</v>
      </c>
      <c r="T106" s="97">
        <f>'NEW Summary 1990-2025 GHG'!T27-'NON-ETS &amp; ETS'!T27</f>
        <v>3981.7288153595919</v>
      </c>
      <c r="U106" s="97">
        <f>'NEW Summary 1990-2025 GHG'!U27-'NON-ETS &amp; ETS'!U27</f>
        <v>3867.8827754167269</v>
      </c>
      <c r="V106" s="97">
        <f>'NEW Summary 1990-2025 GHG'!V27-'NON-ETS &amp; ETS'!V27</f>
        <v>4154.0390884424642</v>
      </c>
      <c r="W106" s="97">
        <f>'NEW Summary 1990-2025 GHG'!W27-'NON-ETS &amp; ETS'!W27</f>
        <v>3791.8116089198634</v>
      </c>
      <c r="X106" s="97">
        <f>'NEW Summary 1990-2025 GHG'!X27-'NON-ETS &amp; ETS'!X27</f>
        <v>3901.122711128432</v>
      </c>
      <c r="Y106" s="97">
        <f>'NEW Summary 1990-2025 GHG'!Y27-'NON-ETS &amp; ETS'!Y27</f>
        <v>4257.1539868743976</v>
      </c>
      <c r="Z106" s="97">
        <f>'NEW Summary 1990-2025 GHG'!Z27-'NON-ETS &amp; ETS'!Z27</f>
        <v>4127.2612236966388</v>
      </c>
      <c r="AA106" s="97">
        <f>'NEW Summary 1990-2025 GHG'!AA27-'NON-ETS &amp; ETS'!AA27</f>
        <v>4154.6465057291252</v>
      </c>
      <c r="AB106" s="97">
        <f>'NEW Summary 1990-2025 GHG'!AB27-'NON-ETS &amp; ETS'!AB27</f>
        <v>4221.7047733379095</v>
      </c>
      <c r="AC106" s="97">
        <f>'NEW Summary 1990-2025 GHG'!AC27-'NON-ETS &amp; ETS'!AC27</f>
        <v>4468.533093973665</v>
      </c>
      <c r="AD106" s="97">
        <f>'NEW Summary 1990-2025 GHG'!AD27-'NON-ETS &amp; ETS'!AD27</f>
        <v>4692.8105740935171</v>
      </c>
      <c r="AE106" s="97">
        <f>'NEW Summary 1990-2025 GHG'!AE27-'NON-ETS &amp; ETS'!AE27</f>
        <v>4460.1454473438389</v>
      </c>
      <c r="AF106" s="97">
        <f>'NEW Summary 1990-2025 GHG'!AF27-'NON-ETS &amp; ETS'!AF27</f>
        <v>4514.6986608861025</v>
      </c>
      <c r="AG106" s="97">
        <f>'NEW Summary 1990-2025 GHG'!AG27-'NON-ETS &amp; ETS'!AG27</f>
        <v>4683.9984214870301</v>
      </c>
      <c r="AH106" s="97">
        <f>'NEW Summary 1990-2025 GHG'!AH27-'NON-ETS &amp; ETS'!AH27</f>
        <v>4238.3438725430251</v>
      </c>
      <c r="AI106" s="97">
        <f>'NEW Summary 1990-2025 GHG'!AI27-'NON-ETS &amp; ETS'!AI27</f>
        <v>3823.2520941569628</v>
      </c>
      <c r="AJ106" s="97">
        <f>'NEW Summary 1990-2025 GHG'!AJ27-'NON-ETS &amp; ETS'!AJ27</f>
        <v>3902.5306955184215</v>
      </c>
      <c r="AK106" s="97">
        <f>'NEW Summary 1990-2025 GHG'!AK27-'NON-ETS &amp; ETS'!AK27</f>
        <v>4130.2043494835052</v>
      </c>
      <c r="AL106" s="76"/>
      <c r="AM106" s="98">
        <f t="shared" si="14"/>
        <v>5.8340003379483744E-2</v>
      </c>
      <c r="AO106" s="98">
        <f t="shared" si="15"/>
        <v>-5.179681316290146E-2</v>
      </c>
    </row>
    <row r="107" spans="1:41" outlineLevel="1" x14ac:dyDescent="0.25">
      <c r="A107" s="78" t="s">
        <v>35</v>
      </c>
      <c r="B107" s="97">
        <f>'NEW Summary 1990-2025 GHG'!B28-'NON-ETS &amp; ETS'!B28</f>
        <v>355.036</v>
      </c>
      <c r="C107" s="97">
        <f>'NEW Summary 1990-2025 GHG'!C28-'NON-ETS &amp; ETS'!C28</f>
        <v>315.14515999999998</v>
      </c>
      <c r="D107" s="97">
        <f>'NEW Summary 1990-2025 GHG'!D28-'NON-ETS &amp; ETS'!D28</f>
        <v>255.60083999999998</v>
      </c>
      <c r="E107" s="97">
        <f>'NEW Summary 1990-2025 GHG'!E28-'NON-ETS &amp; ETS'!E28</f>
        <v>357.2998</v>
      </c>
      <c r="F107" s="97">
        <f>'NEW Summary 1990-2025 GHG'!F28-'NON-ETS &amp; ETS'!F28</f>
        <v>269.64124000000004</v>
      </c>
      <c r="G107" s="97">
        <f>'NEW Summary 1990-2025 GHG'!G28-'NON-ETS &amp; ETS'!G28</f>
        <v>494.59520000000003</v>
      </c>
      <c r="H107" s="97">
        <f>'NEW Summary 1990-2025 GHG'!H28-'NON-ETS &amp; ETS'!H28</f>
        <v>484.03343999999993</v>
      </c>
      <c r="I107" s="97">
        <f>'NEW Summary 1990-2025 GHG'!I28-'NON-ETS &amp; ETS'!I28</f>
        <v>423.48680000000002</v>
      </c>
      <c r="J107" s="97">
        <f>'NEW Summary 1990-2025 GHG'!J28-'NON-ETS &amp; ETS'!J28</f>
        <v>305.58044000000001</v>
      </c>
      <c r="K107" s="97">
        <f>'NEW Summary 1990-2025 GHG'!K28-'NON-ETS &amp; ETS'!K28</f>
        <v>383.22723999999999</v>
      </c>
      <c r="L107" s="97">
        <f>'NEW Summary 1990-2025 GHG'!L28-'NON-ETS &amp; ETS'!L28</f>
        <v>366.38315999999998</v>
      </c>
      <c r="M107" s="97">
        <f>'NEW Summary 1990-2025 GHG'!M28-'NON-ETS &amp; ETS'!M28</f>
        <v>385.28247999999996</v>
      </c>
      <c r="N107" s="97">
        <f>'NEW Summary 1990-2025 GHG'!N28-'NON-ETS &amp; ETS'!N28</f>
        <v>273.89956000000001</v>
      </c>
      <c r="O107" s="97">
        <f>'NEW Summary 1990-2025 GHG'!O28-'NON-ETS &amp; ETS'!O28</f>
        <v>386.76</v>
      </c>
      <c r="P107" s="97">
        <f>'NEW Summary 1990-2025 GHG'!P28-'NON-ETS &amp; ETS'!P28</f>
        <v>240.79571999999996</v>
      </c>
      <c r="Q107" s="97">
        <f>'NEW Summary 1990-2025 GHG'!Q28-'NON-ETS &amp; ETS'!Q28</f>
        <v>266.73371999999995</v>
      </c>
      <c r="R107" s="97">
        <f>'NEW Summary 1990-2025 GHG'!R28-'NON-ETS &amp; ETS'!R28</f>
        <v>254.85636</v>
      </c>
      <c r="S107" s="97">
        <f>'NEW Summary 1990-2025 GHG'!S28-'NON-ETS &amp; ETS'!S28</f>
        <v>376.76671999999996</v>
      </c>
      <c r="T107" s="97">
        <f>'NEW Summary 1990-2025 GHG'!T28-'NON-ETS &amp; ETS'!T28</f>
        <v>262.20744000000002</v>
      </c>
      <c r="U107" s="97">
        <f>'NEW Summary 1990-2025 GHG'!U28-'NON-ETS &amp; ETS'!U28</f>
        <v>307.32239999999996</v>
      </c>
      <c r="V107" s="97">
        <f>'NEW Summary 1990-2025 GHG'!V28-'NON-ETS &amp; ETS'!V28</f>
        <v>427.93387999999993</v>
      </c>
      <c r="W107" s="97">
        <f>'NEW Summary 1990-2025 GHG'!W28-'NON-ETS &amp; ETS'!W28</f>
        <v>360.67856</v>
      </c>
      <c r="X107" s="97">
        <f>'NEW Summary 1990-2025 GHG'!X28-'NON-ETS &amp; ETS'!X28</f>
        <v>229.39619999999999</v>
      </c>
      <c r="Y107" s="97">
        <f>'NEW Summary 1990-2025 GHG'!Y28-'NON-ETS &amp; ETS'!Y28</f>
        <v>515.69275999999991</v>
      </c>
      <c r="Z107" s="97">
        <f>'NEW Summary 1990-2025 GHG'!Z28-'NON-ETS &amp; ETS'!Z28</f>
        <v>391.07495680000005</v>
      </c>
      <c r="AA107" s="97">
        <f>'NEW Summary 1990-2025 GHG'!AA28-'NON-ETS &amp; ETS'!AA28</f>
        <v>401.14668</v>
      </c>
      <c r="AB107" s="97">
        <f>'NEW Summary 1990-2025 GHG'!AB28-'NON-ETS &amp; ETS'!AB28</f>
        <v>433.59667999999999</v>
      </c>
      <c r="AC107" s="97">
        <f>'NEW Summary 1990-2025 GHG'!AC28-'NON-ETS &amp; ETS'!AC28</f>
        <v>332.74647999999996</v>
      </c>
      <c r="AD107" s="97">
        <f>'NEW Summary 1990-2025 GHG'!AD28-'NON-ETS &amp; ETS'!AD28</f>
        <v>461.05708000000004</v>
      </c>
      <c r="AE107" s="97">
        <f>'NEW Summary 1990-2025 GHG'!AE28-'NON-ETS &amp; ETS'!AE28</f>
        <v>343.90247759999994</v>
      </c>
      <c r="AF107" s="97">
        <f>'NEW Summary 1990-2025 GHG'!AF28-'NON-ETS &amp; ETS'!AF28</f>
        <v>399.48303999999996</v>
      </c>
      <c r="AG107" s="97">
        <f>'NEW Summary 1990-2025 GHG'!AG28-'NON-ETS &amp; ETS'!AG28</f>
        <v>597.40603999999996</v>
      </c>
      <c r="AH107" s="97">
        <f>'NEW Summary 1990-2025 GHG'!AH28-'NON-ETS &amp; ETS'!AH28</f>
        <v>623.97631999999999</v>
      </c>
      <c r="AI107" s="97">
        <f>'NEW Summary 1990-2025 GHG'!AI28-'NON-ETS &amp; ETS'!AI28</f>
        <v>457.79579999999999</v>
      </c>
      <c r="AJ107" s="97">
        <f>'NEW Summary 1990-2025 GHG'!AJ28-'NON-ETS &amp; ETS'!AJ28</f>
        <v>453.53203719999999</v>
      </c>
      <c r="AK107" s="97">
        <f>'NEW Summary 1990-2025 GHG'!AK28-'NON-ETS &amp; ETS'!AK28</f>
        <v>409.08510719999998</v>
      </c>
      <c r="AL107" s="76"/>
      <c r="AM107" s="98">
        <f t="shared" si="14"/>
        <v>-9.8001742664983252E-2</v>
      </c>
      <c r="AO107" s="98">
        <f t="shared" si="15"/>
        <v>0.53368350728209413</v>
      </c>
    </row>
    <row r="108" spans="1:41" outlineLevel="1" x14ac:dyDescent="0.25">
      <c r="A108" s="78" t="s">
        <v>36</v>
      </c>
      <c r="B108" s="97">
        <f>'NEW Summary 1990-2025 GHG'!B29-'NON-ETS &amp; ETS'!B29</f>
        <v>96.677023188405784</v>
      </c>
      <c r="C108" s="97">
        <f>'NEW Summary 1990-2025 GHG'!C29-'NON-ETS &amp; ETS'!C29</f>
        <v>99.628382821946872</v>
      </c>
      <c r="D108" s="97">
        <f>'NEW Summary 1990-2025 GHG'!D29-'NON-ETS &amp; ETS'!D29</f>
        <v>118.08579710144927</v>
      </c>
      <c r="E108" s="97">
        <f>'NEW Summary 1990-2025 GHG'!E29-'NON-ETS &amp; ETS'!E29</f>
        <v>99.875217391304361</v>
      </c>
      <c r="F108" s="97">
        <f>'NEW Summary 1990-2025 GHG'!F29-'NON-ETS &amp; ETS'!F29</f>
        <v>98.719420289855051</v>
      </c>
      <c r="G108" s="97">
        <f>'NEW Summary 1990-2025 GHG'!G29-'NON-ETS &amp; ETS'!G29</f>
        <v>86.267101449275344</v>
      </c>
      <c r="H108" s="97">
        <f>'NEW Summary 1990-2025 GHG'!H29-'NON-ETS &amp; ETS'!H29</f>
        <v>87.18695652173912</v>
      </c>
      <c r="I108" s="97">
        <f>'NEW Summary 1990-2025 GHG'!I29-'NON-ETS &amp; ETS'!I29</f>
        <v>82.633913043478259</v>
      </c>
      <c r="J108" s="97">
        <f>'NEW Summary 1990-2025 GHG'!J29-'NON-ETS &amp; ETS'!J29</f>
        <v>95.371594202898564</v>
      </c>
      <c r="K108" s="97">
        <f>'NEW Summary 1990-2025 GHG'!K29-'NON-ETS &amp; ETS'!K29</f>
        <v>103.53391304347825</v>
      </c>
      <c r="L108" s="97">
        <f>'NEW Summary 1990-2025 GHG'!L29-'NON-ETS &amp; ETS'!L29</f>
        <v>91.8436231884058</v>
      </c>
      <c r="M108" s="97">
        <f>'NEW Summary 1990-2025 GHG'!M29-'NON-ETS &amp; ETS'!M29</f>
        <v>83.63666666666667</v>
      </c>
      <c r="N108" s="97">
        <f>'NEW Summary 1990-2025 GHG'!N29-'NON-ETS &amp; ETS'!N29</f>
        <v>80.805362318840594</v>
      </c>
      <c r="O108" s="97">
        <f>'NEW Summary 1990-2025 GHG'!O29-'NON-ETS &amp; ETS'!O29</f>
        <v>78.482608695652175</v>
      </c>
      <c r="P108" s="97">
        <f>'NEW Summary 1990-2025 GHG'!P29-'NON-ETS &amp; ETS'!P29</f>
        <v>66.857681159420295</v>
      </c>
      <c r="Q108" s="97">
        <f>'NEW Summary 1990-2025 GHG'!Q29-'NON-ETS &amp; ETS'!Q29</f>
        <v>60.814599999999999</v>
      </c>
      <c r="R108" s="97">
        <f>'NEW Summary 1990-2025 GHG'!R29-'NON-ETS &amp; ETS'!R29</f>
        <v>64.755533333333346</v>
      </c>
      <c r="S108" s="97">
        <f>'NEW Summary 1990-2025 GHG'!S29-'NON-ETS &amp; ETS'!S29</f>
        <v>50.899933333333344</v>
      </c>
      <c r="T108" s="97">
        <f>'NEW Summary 1990-2025 GHG'!T29-'NON-ETS &amp; ETS'!T29</f>
        <v>66.973133333333351</v>
      </c>
      <c r="U108" s="97">
        <f>'NEW Summary 1990-2025 GHG'!U29-'NON-ETS &amp; ETS'!U29</f>
        <v>89.020800000000008</v>
      </c>
      <c r="V108" s="97">
        <f>'NEW Summary 1990-2025 GHG'!V29-'NON-ETS &amp; ETS'!V29</f>
        <v>98.243200000000016</v>
      </c>
      <c r="W108" s="97">
        <f>'NEW Summary 1990-2025 GHG'!W29-'NON-ETS &amp; ETS'!W29</f>
        <v>70.265799999999999</v>
      </c>
      <c r="X108" s="97">
        <f>'NEW Summary 1990-2025 GHG'!X29-'NON-ETS &amp; ETS'!X29</f>
        <v>46.351066666666675</v>
      </c>
      <c r="Y108" s="97">
        <f>'NEW Summary 1990-2025 GHG'!Y29-'NON-ETS &amp; ETS'!Y29</f>
        <v>47.090266666666672</v>
      </c>
      <c r="Z108" s="97">
        <f>'NEW Summary 1990-2025 GHG'!Z29-'NON-ETS &amp; ETS'!Z29</f>
        <v>54.549733333333336</v>
      </c>
      <c r="AA108" s="97">
        <f>'NEW Summary 1990-2025 GHG'!AA29-'NON-ETS &amp; ETS'!AA29</f>
        <v>64.265666666666661</v>
      </c>
      <c r="AB108" s="97">
        <f>'NEW Summary 1990-2025 GHG'!AB29-'NON-ETS &amp; ETS'!AB29</f>
        <v>81.790133333333344</v>
      </c>
      <c r="AC108" s="97">
        <f>'NEW Summary 1990-2025 GHG'!AC29-'NON-ETS &amp; ETS'!AC29</f>
        <v>83.988666666666674</v>
      </c>
      <c r="AD108" s="97">
        <f>'NEW Summary 1990-2025 GHG'!AD29-'NON-ETS &amp; ETS'!AD29</f>
        <v>90.42880000000001</v>
      </c>
      <c r="AE108" s="97">
        <f>'NEW Summary 1990-2025 GHG'!AE29-'NON-ETS &amp; ETS'!AE29</f>
        <v>96.082066666666663</v>
      </c>
      <c r="AF108" s="97">
        <f>'NEW Summary 1990-2025 GHG'!AF29-'NON-ETS &amp; ETS'!AF29</f>
        <v>110.17820000000002</v>
      </c>
      <c r="AG108" s="97">
        <f>'NEW Summary 1990-2025 GHG'!AG29-'NON-ETS &amp; ETS'!AG29</f>
        <v>106.40373333333334</v>
      </c>
      <c r="AH108" s="97">
        <f>'NEW Summary 1990-2025 GHG'!AH29-'NON-ETS &amp; ETS'!AH29</f>
        <v>143.90640000000002</v>
      </c>
      <c r="AI108" s="97">
        <f>'NEW Summary 1990-2025 GHG'!AI29-'NON-ETS &amp; ETS'!AI29</f>
        <v>139.22972077294688</v>
      </c>
      <c r="AJ108" s="97">
        <f>'NEW Summary 1990-2025 GHG'!AJ29-'NON-ETS &amp; ETS'!AJ29</f>
        <v>173.39875962720419</v>
      </c>
      <c r="AK108" s="97">
        <f>'NEW Summary 1990-2025 GHG'!AK29-'NON-ETS &amp; ETS'!AK29</f>
        <v>143.96768115942032</v>
      </c>
      <c r="AL108" s="76"/>
      <c r="AM108" s="98">
        <f t="shared" si="14"/>
        <v>-0.1697306170531942</v>
      </c>
      <c r="AO108" s="98">
        <f t="shared" si="15"/>
        <v>1.367321024218203</v>
      </c>
    </row>
    <row r="109" spans="1:41" outlineLevel="1" x14ac:dyDescent="0.25">
      <c r="A109" s="78" t="s">
        <v>37</v>
      </c>
      <c r="B109" s="97">
        <f>'NEW Summary 1990-2025 GHG'!B30-'NON-ETS &amp; ETS'!B30</f>
        <v>723.07784151514841</v>
      </c>
      <c r="C109" s="97">
        <f>'NEW Summary 1990-2025 GHG'!C30-'NON-ETS &amp; ETS'!C30</f>
        <v>750.88852772726921</v>
      </c>
      <c r="D109" s="97">
        <f>'NEW Summary 1990-2025 GHG'!D30-'NON-ETS &amp; ETS'!D30</f>
        <v>761.3175350568149</v>
      </c>
      <c r="E109" s="97">
        <f>'NEW Summary 1990-2025 GHG'!E30-'NON-ETS &amp; ETS'!E30</f>
        <v>764.79387083332995</v>
      </c>
      <c r="F109" s="97">
        <f>'NEW Summary 1990-2025 GHG'!F30-'NON-ETS &amp; ETS'!F30</f>
        <v>869.08394412878408</v>
      </c>
      <c r="G109" s="97">
        <f>'NEW Summary 1990-2025 GHG'!G30-'NON-ETS &amp; ETS'!G30</f>
        <v>997.70836785984386</v>
      </c>
      <c r="H109" s="97">
        <f>'NEW Summary 1990-2025 GHG'!H30-'NON-ETS &amp; ETS'!H30</f>
        <v>803.03356437499644</v>
      </c>
      <c r="I109" s="97">
        <f>'NEW Summary 1990-2025 GHG'!I30-'NON-ETS &amp; ETS'!I30</f>
        <v>830.84425058711759</v>
      </c>
      <c r="J109" s="97">
        <f>'NEW Summary 1990-2025 GHG'!J30-'NON-ETS &amp; ETS'!J30</f>
        <v>823.89157903408716</v>
      </c>
      <c r="K109" s="97">
        <f>'NEW Summary 1990-2025 GHG'!K30-'NON-ETS &amp; ETS'!K30</f>
        <v>869.08394412878408</v>
      </c>
      <c r="L109" s="97">
        <f>'NEW Summary 1990-2025 GHG'!L30-'NON-ETS &amp; ETS'!L30</f>
        <v>900.37096611742027</v>
      </c>
      <c r="M109" s="97">
        <f>'NEW Summary 1990-2025 GHG'!M30-'NON-ETS &amp; ETS'!M30</f>
        <v>910.79997344696551</v>
      </c>
      <c r="N109" s="97">
        <f>'NEW Summary 1990-2025 GHG'!N30-'NON-ETS &amp; ETS'!N30</f>
        <v>914.27630922348078</v>
      </c>
      <c r="O109" s="97">
        <f>'NEW Summary 1990-2025 GHG'!O30-'NON-ETS &amp; ETS'!O30</f>
        <v>917.75264499999571</v>
      </c>
      <c r="P109" s="97">
        <f>'NEW Summary 1990-2025 GHG'!P30-'NON-ETS &amp; ETS'!P30</f>
        <v>879.51295145832944</v>
      </c>
      <c r="Q109" s="97">
        <f>'NEW Summary 1990-2025 GHG'!Q30-'NON-ETS &amp; ETS'!Q30</f>
        <v>943.78401985771598</v>
      </c>
      <c r="R109" s="97">
        <f>'NEW Summary 1990-2025 GHG'!R30-'NON-ETS &amp; ETS'!R30</f>
        <v>904.75785767385571</v>
      </c>
      <c r="S109" s="97">
        <f>'NEW Summary 1990-2025 GHG'!S30-'NON-ETS &amp; ETS'!S30</f>
        <v>859.0597220842551</v>
      </c>
      <c r="T109" s="97">
        <f>'NEW Summary 1990-2025 GHG'!T30-'NON-ETS &amp; ETS'!T30</f>
        <v>929.49684859773402</v>
      </c>
      <c r="U109" s="97">
        <f>'NEW Summary 1990-2025 GHG'!U30-'NON-ETS &amp; ETS'!U30</f>
        <v>788.40909980042272</v>
      </c>
      <c r="V109" s="97">
        <f>'NEW Summary 1990-2025 GHG'!V30-'NON-ETS &amp; ETS'!V30</f>
        <v>745.71686526643111</v>
      </c>
      <c r="W109" s="97">
        <f>'NEW Summary 1990-2025 GHG'!W30-'NON-ETS &amp; ETS'!W30</f>
        <v>714.47450090494692</v>
      </c>
      <c r="X109" s="97">
        <f>'NEW Summary 1990-2025 GHG'!X30-'NON-ETS &amp; ETS'!X30</f>
        <v>680.81517379975094</v>
      </c>
      <c r="Y109" s="97">
        <f>'NEW Summary 1990-2025 GHG'!Y30-'NON-ETS &amp; ETS'!Y30</f>
        <v>590.39470623732518</v>
      </c>
      <c r="Z109" s="97">
        <f>'NEW Summary 1990-2025 GHG'!Z30-'NON-ETS &amp; ETS'!Z30</f>
        <v>529.00222385419227</v>
      </c>
      <c r="AA109" s="97">
        <f>'NEW Summary 1990-2025 GHG'!AA30-'NON-ETS &amp; ETS'!AA30</f>
        <v>509.62622568842954</v>
      </c>
      <c r="AB109" s="97">
        <f>'NEW Summary 1990-2025 GHG'!AB30-'NON-ETS &amp; ETS'!AB30</f>
        <v>535.12228288219046</v>
      </c>
      <c r="AC109" s="97">
        <f>'NEW Summary 1990-2025 GHG'!AC30-'NON-ETS &amp; ETS'!AC30</f>
        <v>554.55875658682862</v>
      </c>
      <c r="AD109" s="97">
        <f>'NEW Summary 1990-2025 GHG'!AD30-'NON-ETS &amp; ETS'!AD30</f>
        <v>589.69157573857956</v>
      </c>
      <c r="AE109" s="97">
        <f>'NEW Summary 1990-2025 GHG'!AE30-'NON-ETS &amp; ETS'!AE30</f>
        <v>609.87730095474478</v>
      </c>
      <c r="AF109" s="97">
        <f>'NEW Summary 1990-2025 GHG'!AF30-'NON-ETS &amp; ETS'!AF30</f>
        <v>650.30503802564874</v>
      </c>
      <c r="AG109" s="97">
        <f>'NEW Summary 1990-2025 GHG'!AG30-'NON-ETS &amp; ETS'!AG30</f>
        <v>642.34371972280621</v>
      </c>
      <c r="AH109" s="97">
        <f>'NEW Summary 1990-2025 GHG'!AH30-'NON-ETS &amp; ETS'!AH30</f>
        <v>852.65982131787541</v>
      </c>
      <c r="AI109" s="97">
        <f>'NEW Summary 1990-2025 GHG'!AI30-'NON-ETS &amp; ETS'!AI30</f>
        <v>723.27981651305049</v>
      </c>
      <c r="AJ109" s="97">
        <f>'NEW Summary 1990-2025 GHG'!AJ30-'NON-ETS &amp; ETS'!AJ30</f>
        <v>739.39464045647514</v>
      </c>
      <c r="AK109" s="97">
        <f>'NEW Summary 1990-2025 GHG'!AK30-'NON-ETS &amp; ETS'!AK30</f>
        <v>808.51025267581758</v>
      </c>
      <c r="AL109" s="76"/>
      <c r="AM109" s="98">
        <f t="shared" si="14"/>
        <v>9.3475944289605609E-2</v>
      </c>
      <c r="AO109" s="98">
        <f t="shared" si="15"/>
        <v>-0.14333127530840387</v>
      </c>
    </row>
    <row r="110" spans="1:41" outlineLevel="1" x14ac:dyDescent="0.25">
      <c r="A110" s="78" t="s">
        <v>38</v>
      </c>
      <c r="B110" s="97">
        <f>'NEW Summary 1990-2025 GHG'!B31-'NON-ETS &amp; ETS'!B31</f>
        <v>87.792945608757037</v>
      </c>
      <c r="C110" s="97">
        <f>'NEW Summary 1990-2025 GHG'!C31-'NON-ETS &amp; ETS'!C31</f>
        <v>94.873641077770003</v>
      </c>
      <c r="D110" s="97">
        <f>'NEW Summary 1990-2025 GHG'!D31-'NON-ETS &amp; ETS'!D31</f>
        <v>101.04152842696728</v>
      </c>
      <c r="E110" s="97">
        <f>'NEW Summary 1990-2025 GHG'!E31-'NON-ETS &amp; ETS'!E31</f>
        <v>113.07915998108203</v>
      </c>
      <c r="F110" s="97">
        <f>'NEW Summary 1990-2025 GHG'!F31-'NON-ETS &amp; ETS'!F31</f>
        <v>117.85026712009162</v>
      </c>
      <c r="G110" s="97">
        <f>'NEW Summary 1990-2025 GHG'!G31-'NON-ETS &amp; ETS'!G31</f>
        <v>158.45818020153698</v>
      </c>
      <c r="H110" s="97">
        <f>'NEW Summary 1990-2025 GHG'!H31-'NON-ETS &amp; ETS'!H31</f>
        <v>135.2120000835651</v>
      </c>
      <c r="I110" s="97">
        <f>'NEW Summary 1990-2025 GHG'!I31-'NON-ETS &amp; ETS'!I31</f>
        <v>119.21641618531905</v>
      </c>
      <c r="J110" s="97">
        <f>'NEW Summary 1990-2025 GHG'!J31-'NON-ETS &amp; ETS'!J31</f>
        <v>131.74945545725768</v>
      </c>
      <c r="K110" s="97">
        <f>'NEW Summary 1990-2025 GHG'!K31-'NON-ETS &amp; ETS'!K31</f>
        <v>116.24846244630325</v>
      </c>
      <c r="L110" s="97">
        <f>'NEW Summary 1990-2025 GHG'!L31-'NON-ETS &amp; ETS'!L31</f>
        <v>113.17187024649508</v>
      </c>
      <c r="M110" s="97">
        <f>'NEW Summary 1990-2025 GHG'!M31-'NON-ETS &amp; ETS'!M31</f>
        <v>115.09795664159599</v>
      </c>
      <c r="N110" s="97">
        <f>'NEW Summary 1990-2025 GHG'!N31-'NON-ETS &amp; ETS'!N31</f>
        <v>98.815256811255836</v>
      </c>
      <c r="O110" s="97">
        <f>'NEW Summary 1990-2025 GHG'!O31-'NON-ETS &amp; ETS'!O31</f>
        <v>142.11868200708247</v>
      </c>
      <c r="P110" s="97">
        <f>'NEW Summary 1990-2025 GHG'!P31-'NON-ETS &amp; ETS'!P31</f>
        <v>161.60614805975348</v>
      </c>
      <c r="Q110" s="97">
        <f>'NEW Summary 1990-2025 GHG'!Q31-'NON-ETS &amp; ETS'!Q31</f>
        <v>144.85608341284475</v>
      </c>
      <c r="R110" s="97">
        <f>'NEW Summary 1990-2025 GHG'!R31-'NON-ETS &amp; ETS'!R31</f>
        <v>129.39220551562343</v>
      </c>
      <c r="S110" s="97">
        <f>'NEW Summary 1990-2025 GHG'!S31-'NON-ETS &amp; ETS'!S31</f>
        <v>120.66723161316608</v>
      </c>
      <c r="T110" s="97">
        <f>'NEW Summary 1990-2025 GHG'!T31-'NON-ETS &amp; ETS'!T31</f>
        <v>103.58890081656772</v>
      </c>
      <c r="U110" s="97">
        <f>'NEW Summary 1990-2025 GHG'!U31-'NON-ETS &amp; ETS'!U31</f>
        <v>96.859496755999345</v>
      </c>
      <c r="V110" s="97">
        <f>'NEW Summary 1990-2025 GHG'!V31-'NON-ETS &amp; ETS'!V31</f>
        <v>76.13402775896985</v>
      </c>
      <c r="W110" s="97">
        <f>'NEW Summary 1990-2025 GHG'!W31-'NON-ETS &amp; ETS'!W31</f>
        <v>63.062334421648423</v>
      </c>
      <c r="X110" s="97">
        <f>'NEW Summary 1990-2025 GHG'!X31-'NON-ETS &amp; ETS'!X31</f>
        <v>69.810792636750492</v>
      </c>
      <c r="Y110" s="97">
        <f>'NEW Summary 1990-2025 GHG'!Y31-'NON-ETS &amp; ETS'!Y31</f>
        <v>77.680430687682218</v>
      </c>
      <c r="Z110" s="97">
        <f>'NEW Summary 1990-2025 GHG'!Z31-'NON-ETS &amp; ETS'!Z31</f>
        <v>74.014066691240913</v>
      </c>
      <c r="AA110" s="97">
        <f>'NEW Summary 1990-2025 GHG'!AA31-'NON-ETS &amp; ETS'!AA31</f>
        <v>65.071496520437094</v>
      </c>
      <c r="AB110" s="97">
        <f>'NEW Summary 1990-2025 GHG'!AB31-'NON-ETS &amp; ETS'!AB31</f>
        <v>59.75217083200944</v>
      </c>
      <c r="AC110" s="97">
        <f>'NEW Summary 1990-2025 GHG'!AC31-'NON-ETS &amp; ETS'!AC31</f>
        <v>70.755959493978764</v>
      </c>
      <c r="AD110" s="97">
        <f>'NEW Summary 1990-2025 GHG'!AD31-'NON-ETS &amp; ETS'!AD31</f>
        <v>84.456069343585312</v>
      </c>
      <c r="AE110" s="97">
        <f>'NEW Summary 1990-2025 GHG'!AE31-'NON-ETS &amp; ETS'!AE31</f>
        <v>72.920534723770871</v>
      </c>
      <c r="AF110" s="97">
        <f>'NEW Summary 1990-2025 GHG'!AF31-'NON-ETS &amp; ETS'!AF31</f>
        <v>59.439864209311182</v>
      </c>
      <c r="AG110" s="97">
        <f>'NEW Summary 1990-2025 GHG'!AG31-'NON-ETS &amp; ETS'!AG31</f>
        <v>58.155267126107894</v>
      </c>
      <c r="AH110" s="97">
        <f>'NEW Summary 1990-2025 GHG'!AH31-'NON-ETS &amp; ETS'!AH31</f>
        <v>53.577660351936274</v>
      </c>
      <c r="AI110" s="97">
        <f>'NEW Summary 1990-2025 GHG'!AI31-'NON-ETS &amp; ETS'!AI31</f>
        <v>63.187856821462169</v>
      </c>
      <c r="AJ110" s="97">
        <f>'NEW Summary 1990-2025 GHG'!AJ31-'NON-ETS &amp; ETS'!AJ31</f>
        <v>65.12724557430721</v>
      </c>
      <c r="AK110" s="97">
        <f>'NEW Summary 1990-2025 GHG'!AK31-'NON-ETS &amp; ETS'!AK31</f>
        <v>65.12724557430721</v>
      </c>
      <c r="AL110" s="76"/>
      <c r="AM110" s="98">
        <f t="shared" si="14"/>
        <v>0</v>
      </c>
      <c r="AO110" s="98">
        <f t="shared" si="15"/>
        <v>-0.55040034191251497</v>
      </c>
    </row>
    <row r="111" spans="1:41" x14ac:dyDescent="0.25">
      <c r="A111" s="82" t="s">
        <v>39</v>
      </c>
      <c r="B111" s="75" t="e">
        <f t="shared" ref="B111:AB111" si="18">SUM(B112:B115)</f>
        <v>#VALUE!</v>
      </c>
      <c r="C111" s="75" t="e">
        <f t="shared" si="18"/>
        <v>#VALUE!</v>
      </c>
      <c r="D111" s="75" t="e">
        <f t="shared" si="18"/>
        <v>#VALUE!</v>
      </c>
      <c r="E111" s="75" t="e">
        <f t="shared" si="18"/>
        <v>#VALUE!</v>
      </c>
      <c r="F111" s="75" t="e">
        <f t="shared" si="18"/>
        <v>#VALUE!</v>
      </c>
      <c r="G111" s="75" t="e">
        <f t="shared" si="18"/>
        <v>#VALUE!</v>
      </c>
      <c r="H111" s="75" t="e">
        <f t="shared" si="18"/>
        <v>#VALUE!</v>
      </c>
      <c r="I111" s="75" t="e">
        <f t="shared" si="18"/>
        <v>#VALUE!</v>
      </c>
      <c r="J111" s="75" t="e">
        <f t="shared" si="18"/>
        <v>#VALUE!</v>
      </c>
      <c r="K111" s="75" t="e">
        <f t="shared" si="18"/>
        <v>#VALUE!</v>
      </c>
      <c r="L111" s="75" t="e">
        <f t="shared" si="18"/>
        <v>#VALUE!</v>
      </c>
      <c r="M111" s="75">
        <f t="shared" si="18"/>
        <v>1766.8598970748044</v>
      </c>
      <c r="N111" s="75">
        <f t="shared" si="18"/>
        <v>1880.8930105084603</v>
      </c>
      <c r="O111" s="75">
        <f t="shared" si="18"/>
        <v>1935.8113668287185</v>
      </c>
      <c r="P111" s="75">
        <f t="shared" si="18"/>
        <v>1656.7174768324844</v>
      </c>
      <c r="Q111" s="75">
        <f t="shared" si="18"/>
        <v>1454.2732283395637</v>
      </c>
      <c r="R111" s="75">
        <f t="shared" si="18"/>
        <v>1489.0608120747911</v>
      </c>
      <c r="S111" s="75">
        <f t="shared" si="18"/>
        <v>962.33999441077253</v>
      </c>
      <c r="T111" s="75">
        <f t="shared" si="18"/>
        <v>800.17858585700117</v>
      </c>
      <c r="U111" s="75">
        <f t="shared" si="18"/>
        <v>603.78478589667623</v>
      </c>
      <c r="V111" s="75">
        <f t="shared" si="18"/>
        <v>594.31068292949431</v>
      </c>
      <c r="W111" s="75">
        <f t="shared" si="18"/>
        <v>688.42779394361185</v>
      </c>
      <c r="X111" s="75">
        <f t="shared" si="18"/>
        <v>594.26965456386324</v>
      </c>
      <c r="Y111" s="75">
        <f t="shared" si="18"/>
        <v>764.64137999478999</v>
      </c>
      <c r="Z111" s="75">
        <f t="shared" si="18"/>
        <v>949.68601610714018</v>
      </c>
      <c r="AA111" s="75">
        <f t="shared" si="18"/>
        <v>1025.8248980477192</v>
      </c>
      <c r="AB111" s="75">
        <f t="shared" si="18"/>
        <v>1019.2945208107094</v>
      </c>
      <c r="AC111" s="75">
        <f t="shared" ref="AC111:AK111" si="19">SUM(AC112:AC115)</f>
        <v>988.0756943528088</v>
      </c>
      <c r="AD111" s="75">
        <f t="shared" si="19"/>
        <v>943.37653365285883</v>
      </c>
      <c r="AE111" s="75">
        <f t="shared" si="19"/>
        <v>908.39164361748965</v>
      </c>
      <c r="AF111" s="75">
        <f t="shared" si="19"/>
        <v>888.9153915942502</v>
      </c>
      <c r="AG111" s="75">
        <f t="shared" si="19"/>
        <v>833.96672898270162</v>
      </c>
      <c r="AH111" s="75">
        <f t="shared" si="19"/>
        <v>879.58421071363273</v>
      </c>
      <c r="AI111" s="75">
        <f t="shared" si="19"/>
        <v>840.93361055304717</v>
      </c>
      <c r="AJ111" s="75">
        <f t="shared" si="19"/>
        <v>822.64954636994128</v>
      </c>
      <c r="AK111" s="75">
        <f t="shared" si="19"/>
        <v>819.53686301069376</v>
      </c>
      <c r="AL111" s="76"/>
      <c r="AM111" s="77">
        <f t="shared" si="14"/>
        <v>-3.7837295030218794E-3</v>
      </c>
      <c r="AO111" s="77">
        <f t="shared" si="15"/>
        <v>-0.43646293761014143</v>
      </c>
    </row>
    <row r="112" spans="1:41" outlineLevel="1" x14ac:dyDescent="0.25">
      <c r="A112" s="78" t="s">
        <v>40</v>
      </c>
      <c r="B112" s="97">
        <f>'NEW Summary 1990-2025 GHG'!B33-'NON-ETS &amp; ETS'!B33</f>
        <v>1476.2440052032955</v>
      </c>
      <c r="C112" s="97">
        <f>'NEW Summary 1990-2025 GHG'!C33-'NON-ETS &amp; ETS'!C33</f>
        <v>1566.4053883747692</v>
      </c>
      <c r="D112" s="97">
        <f>'NEW Summary 1990-2025 GHG'!D33-'NON-ETS &amp; ETS'!D33</f>
        <v>1636.804891871742</v>
      </c>
      <c r="E112" s="97">
        <f>'NEW Summary 1990-2025 GHG'!E33-'NON-ETS &amp; ETS'!E33</f>
        <v>1691.858702032943</v>
      </c>
      <c r="F112" s="97">
        <f>'NEW Summary 1990-2025 GHG'!F33-'NON-ETS &amp; ETS'!F33</f>
        <v>1742.7939278700369</v>
      </c>
      <c r="G112" s="97">
        <f>'NEW Summary 1990-2025 GHG'!G33-'NON-ETS &amp; ETS'!G33</f>
        <v>1783.8901811031583</v>
      </c>
      <c r="H112" s="97">
        <f>'NEW Summary 1990-2025 GHG'!H33-'NON-ETS &amp; ETS'!H33</f>
        <v>1648.4623349545939</v>
      </c>
      <c r="I112" s="97">
        <f>'NEW Summary 1990-2025 GHG'!I33-'NON-ETS &amp; ETS'!I33</f>
        <v>1358.1527343397249</v>
      </c>
      <c r="J112" s="97">
        <f>'NEW Summary 1990-2025 GHG'!J33-'NON-ETS &amp; ETS'!J33</f>
        <v>1414.9422289801573</v>
      </c>
      <c r="K112" s="97">
        <f>'NEW Summary 1990-2025 GHG'!K33-'NON-ETS &amp; ETS'!K33</f>
        <v>1412.537929922556</v>
      </c>
      <c r="L112" s="97">
        <f>'NEW Summary 1990-2025 GHG'!L33-'NON-ETS &amp; ETS'!L33</f>
        <v>1420.2367306818162</v>
      </c>
      <c r="M112" s="97">
        <f>'NEW Summary 1990-2025 GHG'!M33-'NON-ETS &amp; ETS'!M33</f>
        <v>1528.0990541803956</v>
      </c>
      <c r="N112" s="97">
        <f>'NEW Summary 1990-2025 GHG'!N33-'NON-ETS &amp; ETS'!N33</f>
        <v>1610.0739135694294</v>
      </c>
      <c r="O112" s="97">
        <f>'NEW Summary 1990-2025 GHG'!O33-'NON-ETS &amp; ETS'!O33</f>
        <v>1631.9172338696078</v>
      </c>
      <c r="P112" s="97">
        <f>'NEW Summary 1990-2025 GHG'!P33-'NON-ETS &amp; ETS'!P33</f>
        <v>1340.4552857027031</v>
      </c>
      <c r="Q112" s="97">
        <f>'NEW Summary 1990-2025 GHG'!Q33-'NON-ETS &amp; ETS'!Q33</f>
        <v>1139.7880884758854</v>
      </c>
      <c r="R112" s="97">
        <f>'NEW Summary 1990-2025 GHG'!R33-'NON-ETS &amp; ETS'!R33</f>
        <v>1191.2278376327126</v>
      </c>
      <c r="S112" s="97">
        <f>'NEW Summary 1990-2025 GHG'!S33-'NON-ETS &amp; ETS'!S33</f>
        <v>708.99528198119174</v>
      </c>
      <c r="T112" s="97">
        <f>'NEW Summary 1990-2025 GHG'!T33-'NON-ETS &amp; ETS'!T33</f>
        <v>540.93260898724964</v>
      </c>
      <c r="U112" s="97">
        <f>'NEW Summary 1990-2025 GHG'!U33-'NON-ETS &amp; ETS'!U33</f>
        <v>342.15331319283058</v>
      </c>
      <c r="V112" s="97">
        <f>'NEW Summary 1990-2025 GHG'!V33-'NON-ETS &amp; ETS'!V33</f>
        <v>336.5209219157008</v>
      </c>
      <c r="W112" s="97">
        <f>'NEW Summary 1990-2025 GHG'!W33-'NON-ETS &amp; ETS'!W33</f>
        <v>449.98575791706236</v>
      </c>
      <c r="X112" s="97">
        <f>'NEW Summary 1990-2025 GHG'!X33-'NON-ETS &amp; ETS'!X33</f>
        <v>356.45668877291683</v>
      </c>
      <c r="Y112" s="97">
        <f>'NEW Summary 1990-2025 GHG'!Y33-'NON-ETS &amp; ETS'!Y33</f>
        <v>525.3000661606543</v>
      </c>
      <c r="Z112" s="97">
        <f>'NEW Summary 1990-2025 GHG'!Z33-'NON-ETS &amp; ETS'!Z33</f>
        <v>721.54404316658145</v>
      </c>
      <c r="AA112" s="97">
        <f>'NEW Summary 1990-2025 GHG'!AA33-'NON-ETS &amp; ETS'!AA33</f>
        <v>792.34928466402675</v>
      </c>
      <c r="AB112" s="97">
        <f>'NEW Summary 1990-2025 GHG'!AB33-'NON-ETS &amp; ETS'!AB33</f>
        <v>803.00803713759967</v>
      </c>
      <c r="AC112" s="97">
        <f>'NEW Summary 1990-2025 GHG'!AC33-'NON-ETS &amp; ETS'!AC33</f>
        <v>755.84955540806993</v>
      </c>
      <c r="AD112" s="97">
        <f>'NEW Summary 1990-2025 GHG'!AD33-'NON-ETS &amp; ETS'!AD33</f>
        <v>713.81602356686335</v>
      </c>
      <c r="AE112" s="97">
        <f>'NEW Summary 1990-2025 GHG'!AE33-'NON-ETS &amp; ETS'!AE33</f>
        <v>664.48948116698216</v>
      </c>
      <c r="AF112" s="97">
        <f>'NEW Summary 1990-2025 GHG'!AF33-'NON-ETS &amp; ETS'!AF33</f>
        <v>643.63993385548952</v>
      </c>
      <c r="AG112" s="97">
        <f>'NEW Summary 1990-2025 GHG'!AG33-'NON-ETS &amp; ETS'!AG33</f>
        <v>589.42534621307084</v>
      </c>
      <c r="AH112" s="97">
        <f>'NEW Summary 1990-2025 GHG'!AH33-'NON-ETS &amp; ETS'!AH33</f>
        <v>634.02948442666207</v>
      </c>
      <c r="AI112" s="97">
        <f>'NEW Summary 1990-2025 GHG'!AI33-'NON-ETS &amp; ETS'!AI33</f>
        <v>593.87082029161502</v>
      </c>
      <c r="AJ112" s="97">
        <f>'NEW Summary 1990-2025 GHG'!AJ33-'NON-ETS &amp; ETS'!AJ33</f>
        <v>585.61538143807229</v>
      </c>
      <c r="AK112" s="97">
        <f>'NEW Summary 1990-2025 GHG'!AK33-'NON-ETS &amp; ETS'!AK33</f>
        <v>580.47174916662448</v>
      </c>
      <c r="AL112" s="76"/>
      <c r="AM112" s="98">
        <f t="shared" si="14"/>
        <v>-8.7832943506654521E-3</v>
      </c>
      <c r="AO112" s="98">
        <f t="shared" si="15"/>
        <v>-0.49071958635501606</v>
      </c>
    </row>
    <row r="113" spans="1:41" outlineLevel="1" x14ac:dyDescent="0.25">
      <c r="A113" s="78" t="s">
        <v>41</v>
      </c>
      <c r="B113" s="97" t="e">
        <f>'NEW Summary 1990-2025 GHG'!B34-'NON-ETS &amp; ETS'!B34</f>
        <v>#VALUE!</v>
      </c>
      <c r="C113" s="97" t="e">
        <f>'NEW Summary 1990-2025 GHG'!C34-'NON-ETS &amp; ETS'!C34</f>
        <v>#VALUE!</v>
      </c>
      <c r="D113" s="97" t="e">
        <f>'NEW Summary 1990-2025 GHG'!D34-'NON-ETS &amp; ETS'!D34</f>
        <v>#VALUE!</v>
      </c>
      <c r="E113" s="97" t="e">
        <f>'NEW Summary 1990-2025 GHG'!E34-'NON-ETS &amp; ETS'!E34</f>
        <v>#VALUE!</v>
      </c>
      <c r="F113" s="97" t="e">
        <f>'NEW Summary 1990-2025 GHG'!F34-'NON-ETS &amp; ETS'!F34</f>
        <v>#VALUE!</v>
      </c>
      <c r="G113" s="97" t="e">
        <f>'NEW Summary 1990-2025 GHG'!G34-'NON-ETS &amp; ETS'!G34</f>
        <v>#VALUE!</v>
      </c>
      <c r="H113" s="97" t="e">
        <f>'NEW Summary 1990-2025 GHG'!H34-'NON-ETS &amp; ETS'!H34</f>
        <v>#VALUE!</v>
      </c>
      <c r="I113" s="97" t="e">
        <f>'NEW Summary 1990-2025 GHG'!I34-'NON-ETS &amp; ETS'!I34</f>
        <v>#VALUE!</v>
      </c>
      <c r="J113" s="97" t="e">
        <f>'NEW Summary 1990-2025 GHG'!J34-'NON-ETS &amp; ETS'!J34</f>
        <v>#VALUE!</v>
      </c>
      <c r="K113" s="97" t="e">
        <f>'NEW Summary 1990-2025 GHG'!K34-'NON-ETS &amp; ETS'!K34</f>
        <v>#VALUE!</v>
      </c>
      <c r="L113" s="97" t="e">
        <f>'NEW Summary 1990-2025 GHG'!L34-'NON-ETS &amp; ETS'!L34</f>
        <v>#VALUE!</v>
      </c>
      <c r="M113" s="97">
        <f>'NEW Summary 1990-2025 GHG'!M34-'NON-ETS &amp; ETS'!M34</f>
        <v>3.9041147999999999</v>
      </c>
      <c r="N113" s="97">
        <f>'NEW Summary 1990-2025 GHG'!N34-'NON-ETS &amp; ETS'!N34</f>
        <v>5.9726827999999994</v>
      </c>
      <c r="O113" s="97">
        <f>'NEW Summary 1990-2025 GHG'!O34-'NON-ETS &amp; ETS'!O34</f>
        <v>8.3072848000000015</v>
      </c>
      <c r="P113" s="97">
        <f>'NEW Summary 1990-2025 GHG'!P34-'NON-ETS &amp; ETS'!P34</f>
        <v>34.960379600000003</v>
      </c>
      <c r="Q113" s="97">
        <f>'NEW Summary 1990-2025 GHG'!Q34-'NON-ETS &amp; ETS'!Q34</f>
        <v>47.649235599999997</v>
      </c>
      <c r="R113" s="97">
        <f>'NEW Summary 1990-2025 GHG'!R34-'NON-ETS &amp; ETS'!R34</f>
        <v>38.1917708</v>
      </c>
      <c r="S113" s="97">
        <f>'NEW Summary 1990-2025 GHG'!S34-'NON-ETS &amp; ETS'!S34</f>
        <v>37.751190399999999</v>
      </c>
      <c r="T113" s="97">
        <f>'NEW Summary 1990-2025 GHG'!T34-'NON-ETS &amp; ETS'!T34</f>
        <v>49.80138920000001</v>
      </c>
      <c r="U113" s="97">
        <f>'NEW Summary 1990-2025 GHG'!U34-'NON-ETS &amp; ETS'!U34</f>
        <v>49.124275600000004</v>
      </c>
      <c r="V113" s="97">
        <f>'NEW Summary 1990-2025 GHG'!V34-'NON-ETS &amp; ETS'!V34</f>
        <v>50.026312400000002</v>
      </c>
      <c r="W113" s="97">
        <f>'NEW Summary 1990-2025 GHG'!W34-'NON-ETS &amp; ETS'!W34</f>
        <v>49.850344800000009</v>
      </c>
      <c r="X113" s="97">
        <f>'NEW Summary 1990-2025 GHG'!X34-'NON-ETS &amp; ETS'!X34</f>
        <v>45.3094988</v>
      </c>
      <c r="Y113" s="97">
        <f>'NEW Summary 1990-2025 GHG'!Y34-'NON-ETS &amp; ETS'!Y34</f>
        <v>45.739387999999998</v>
      </c>
      <c r="Z113" s="97">
        <f>'NEW Summary 1990-2025 GHG'!Z34-'NON-ETS &amp; ETS'!Z34</f>
        <v>42.4878316</v>
      </c>
      <c r="AA113" s="97">
        <f>'NEW Summary 1990-2025 GHG'!AA34-'NON-ETS &amp; ETS'!AA34</f>
        <v>41.596695200000006</v>
      </c>
      <c r="AB113" s="97">
        <f>'NEW Summary 1990-2025 GHG'!AB34-'NON-ETS &amp; ETS'!AB34</f>
        <v>40.990482400000005</v>
      </c>
      <c r="AC113" s="97">
        <f>'NEW Summary 1990-2025 GHG'!AC34-'NON-ETS &amp; ETS'!AC34</f>
        <v>46.863633920362403</v>
      </c>
      <c r="AD113" s="97">
        <f>'NEW Summary 1990-2025 GHG'!AD34-'NON-ETS &amp; ETS'!AD34</f>
        <v>45.793105543440078</v>
      </c>
      <c r="AE113" s="97">
        <f>'NEW Summary 1990-2025 GHG'!AE34-'NON-ETS &amp; ETS'!AE34</f>
        <v>49.31299925731733</v>
      </c>
      <c r="AF113" s="97">
        <f>'NEW Summary 1990-2025 GHG'!AF34-'NON-ETS &amp; ETS'!AF34</f>
        <v>48.144307363679999</v>
      </c>
      <c r="AG113" s="97">
        <f>'NEW Summary 1990-2025 GHG'!AG34-'NON-ETS &amp; ETS'!AG34</f>
        <v>43.259350754436866</v>
      </c>
      <c r="AH113" s="97">
        <f>'NEW Summary 1990-2025 GHG'!AH34-'NON-ETS &amp; ETS'!AH34</f>
        <v>38.968717775753049</v>
      </c>
      <c r="AI113" s="97">
        <f>'NEW Summary 1990-2025 GHG'!AI34-'NON-ETS &amp; ETS'!AI34</f>
        <v>39.320770946599993</v>
      </c>
      <c r="AJ113" s="97">
        <f>'NEW Summary 1990-2025 GHG'!AJ34-'NON-ETS &amp; ETS'!AJ34</f>
        <v>46.274082672611875</v>
      </c>
      <c r="AK113" s="97">
        <f>'NEW Summary 1990-2025 GHG'!AK34-'NON-ETS &amp; ETS'!AK34</f>
        <v>45.4797031673153</v>
      </c>
      <c r="AL113" s="76"/>
      <c r="AM113" s="98">
        <f t="shared" si="14"/>
        <v>-1.7166834206456195E-2</v>
      </c>
      <c r="AO113" s="98">
        <f t="shared" si="15"/>
        <v>-4.5531316617484149E-2</v>
      </c>
    </row>
    <row r="114" spans="1:41" outlineLevel="1" x14ac:dyDescent="0.25">
      <c r="A114" s="78" t="s">
        <v>42</v>
      </c>
      <c r="B114" s="97">
        <f>'NEW Summary 1990-2025 GHG'!B35-'NON-ETS &amp; ETS'!B35</f>
        <v>97.740765061882584</v>
      </c>
      <c r="C114" s="97">
        <f>'NEW Summary 1990-2025 GHG'!C35-'NON-ETS &amp; ETS'!C35</f>
        <v>97.88913255185517</v>
      </c>
      <c r="D114" s="97">
        <f>'NEW Summary 1990-2025 GHG'!D35-'NON-ETS &amp; ETS'!D35</f>
        <v>98.674091582228982</v>
      </c>
      <c r="E114" s="97">
        <f>'NEW Summary 1990-2025 GHG'!E35-'NON-ETS &amp; ETS'!E35</f>
        <v>99.486071387791299</v>
      </c>
      <c r="F114" s="97">
        <f>'NEW Summary 1990-2025 GHG'!F35-'NON-ETS &amp; ETS'!F35</f>
        <v>100.14640441176329</v>
      </c>
      <c r="G114" s="97">
        <f>'NEW Summary 1990-2025 GHG'!G35-'NON-ETS &amp; ETS'!G35</f>
        <v>100.61466015448265</v>
      </c>
      <c r="H114" s="97">
        <f>'NEW Summary 1990-2025 GHG'!H35-'NON-ETS &amp; ETS'!H35</f>
        <v>100.63183666576825</v>
      </c>
      <c r="I114" s="97">
        <f>'NEW Summary 1990-2025 GHG'!I35-'NON-ETS &amp; ETS'!I35</f>
        <v>84.748430635606638</v>
      </c>
      <c r="J114" s="97">
        <f>'NEW Summary 1990-2025 GHG'!J35-'NON-ETS &amp; ETS'!J35</f>
        <v>66.715771321119618</v>
      </c>
      <c r="K114" s="97">
        <f>'NEW Summary 1990-2025 GHG'!K35-'NON-ETS &amp; ETS'!K35</f>
        <v>74.599152005657388</v>
      </c>
      <c r="L114" s="97">
        <f>'NEW Summary 1990-2025 GHG'!L35-'NON-ETS &amp; ETS'!L35</f>
        <v>79.602870990238046</v>
      </c>
      <c r="M114" s="97">
        <f>'NEW Summary 1990-2025 GHG'!M35-'NON-ETS &amp; ETS'!M35</f>
        <v>88.811286706276093</v>
      </c>
      <c r="N114" s="97">
        <f>'NEW Summary 1990-2025 GHG'!N35-'NON-ETS &amp; ETS'!N35</f>
        <v>115.03357663120156</v>
      </c>
      <c r="O114" s="97">
        <f>'NEW Summary 1990-2025 GHG'!O35-'NON-ETS &amp; ETS'!O35</f>
        <v>162.09788443672096</v>
      </c>
      <c r="P114" s="97">
        <f>'NEW Summary 1990-2025 GHG'!P35-'NON-ETS &amp; ETS'!P35</f>
        <v>149.46809786056204</v>
      </c>
      <c r="Q114" s="97">
        <f>'NEW Summary 1990-2025 GHG'!Q35-'NON-ETS &amp; ETS'!Q35</f>
        <v>132.57234476718932</v>
      </c>
      <c r="R114" s="97">
        <f>'NEW Summary 1990-2025 GHG'!R35-'NON-ETS &amp; ETS'!R35</f>
        <v>130.19005777336207</v>
      </c>
      <c r="S114" s="97">
        <f>'NEW Summary 1990-2025 GHG'!S35-'NON-ETS &amp; ETS'!S35</f>
        <v>83.934111990741073</v>
      </c>
      <c r="T114" s="97">
        <f>'NEW Summary 1990-2025 GHG'!T35-'NON-ETS &amp; ETS'!T35</f>
        <v>69.02380495828794</v>
      </c>
      <c r="U114" s="97">
        <f>'NEW Summary 1990-2025 GHG'!U35-'NON-ETS &amp; ETS'!U35</f>
        <v>70.514412189651139</v>
      </c>
      <c r="V114" s="97">
        <f>'NEW Summary 1990-2025 GHG'!V35-'NON-ETS &amp; ETS'!V35</f>
        <v>62.072527439734159</v>
      </c>
      <c r="W114" s="97">
        <f>'NEW Summary 1990-2025 GHG'!W35-'NON-ETS &amp; ETS'!W35</f>
        <v>45.013958102736098</v>
      </c>
      <c r="X114" s="97">
        <f>'NEW Summary 1990-2025 GHG'!X35-'NON-ETS &amp; ETS'!X35</f>
        <v>48.286182233922162</v>
      </c>
      <c r="Y114" s="97">
        <f>'NEW Summary 1990-2025 GHG'!Y35-'NON-ETS &amp; ETS'!Y35</f>
        <v>45.127691648505646</v>
      </c>
      <c r="Z114" s="97">
        <f>'NEW Summary 1990-2025 GHG'!Z35-'NON-ETS &amp; ETS'!Z35</f>
        <v>41.651772593635819</v>
      </c>
      <c r="AA114" s="97">
        <f>'NEW Summary 1990-2025 GHG'!AA35-'NON-ETS &amp; ETS'!AA35</f>
        <v>42.393890563800774</v>
      </c>
      <c r="AB114" s="97">
        <f>'NEW Summary 1990-2025 GHG'!AB35-'NON-ETS &amp; ETS'!AB35</f>
        <v>25.030907769237675</v>
      </c>
      <c r="AC114" s="97">
        <f>'NEW Summary 1990-2025 GHG'!AC35-'NON-ETS &amp; ETS'!AC35</f>
        <v>27.449305898653076</v>
      </c>
      <c r="AD114" s="97">
        <f>'NEW Summary 1990-2025 GHG'!AD35-'NON-ETS &amp; ETS'!AD35</f>
        <v>23.899295638180405</v>
      </c>
      <c r="AE114" s="97">
        <f>'NEW Summary 1990-2025 GHG'!AE35-'NON-ETS &amp; ETS'!AE35</f>
        <v>32.524203919874395</v>
      </c>
      <c r="AF114" s="97">
        <f>'NEW Summary 1990-2025 GHG'!AF35-'NON-ETS &amp; ETS'!AF35</f>
        <v>31.188413817965916</v>
      </c>
      <c r="AG114" s="97">
        <f>'NEW Summary 1990-2025 GHG'!AG35-'NON-ETS &amp; ETS'!AG35</f>
        <v>34.611180998377201</v>
      </c>
      <c r="AH114" s="97">
        <f>'NEW Summary 1990-2025 GHG'!AH35-'NON-ETS &amp; ETS'!AH35</f>
        <v>36.374321164242211</v>
      </c>
      <c r="AI114" s="97">
        <f>'NEW Summary 1990-2025 GHG'!AI35-'NON-ETS &amp; ETS'!AI35</f>
        <v>35.034633692467686</v>
      </c>
      <c r="AJ114" s="97">
        <f>'NEW Summary 1990-2025 GHG'!AJ35-'NON-ETS &amp; ETS'!AJ35</f>
        <v>14.696479618137133</v>
      </c>
      <c r="AK114" s="97">
        <f>'NEW Summary 1990-2025 GHG'!AK35-'NON-ETS &amp; ETS'!AK35</f>
        <v>14.696479618137133</v>
      </c>
      <c r="AL114" s="76"/>
      <c r="AM114" s="98">
        <f t="shared" si="14"/>
        <v>0</v>
      </c>
      <c r="AO114" s="98">
        <f t="shared" si="15"/>
        <v>-0.88914370003830234</v>
      </c>
    </row>
    <row r="115" spans="1:41" outlineLevel="1" x14ac:dyDescent="0.25">
      <c r="A115" s="78" t="s">
        <v>43</v>
      </c>
      <c r="B115" s="97">
        <f>'NEW Summary 1990-2025 GHG'!B36-'NON-ETS &amp; ETS'!B36</f>
        <v>135.25319522288586</v>
      </c>
      <c r="C115" s="97">
        <f>'NEW Summary 1990-2025 GHG'!C36-'NON-ETS &amp; ETS'!C36</f>
        <v>135.43145080529615</v>
      </c>
      <c r="D115" s="97">
        <f>'NEW Summary 1990-2025 GHG'!D36-'NON-ETS &amp; ETS'!D36</f>
        <v>137.13203332185168</v>
      </c>
      <c r="E115" s="97">
        <f>'NEW Summary 1990-2025 GHG'!E36-'NON-ETS &amp; ETS'!E36</f>
        <v>137.29062266307653</v>
      </c>
      <c r="F115" s="97">
        <f>'NEW Summary 1990-2025 GHG'!F36-'NON-ETS &amp; ETS'!F36</f>
        <v>135.94524665740758</v>
      </c>
      <c r="G115" s="97">
        <f>'NEW Summary 1990-2025 GHG'!G36-'NON-ETS &amp; ETS'!G36</f>
        <v>135.25570228818248</v>
      </c>
      <c r="H115" s="97">
        <f>'NEW Summary 1990-2025 GHG'!H36-'NON-ETS &amp; ETS'!H36</f>
        <v>135.33735543540018</v>
      </c>
      <c r="I115" s="97">
        <f>'NEW Summary 1990-2025 GHG'!I36-'NON-ETS &amp; ETS'!I36</f>
        <v>134.08108593492943</v>
      </c>
      <c r="J115" s="97">
        <f>'NEW Summary 1990-2025 GHG'!J36-'NON-ETS &amp; ETS'!J36</f>
        <v>144.94266515134387</v>
      </c>
      <c r="K115" s="97">
        <f>'NEW Summary 1990-2025 GHG'!K36-'NON-ETS &amp; ETS'!K36</f>
        <v>143.62100195313579</v>
      </c>
      <c r="L115" s="97">
        <f>'NEW Summary 1990-2025 GHG'!L36-'NON-ETS &amp; ETS'!L36</f>
        <v>143.43835361549452</v>
      </c>
      <c r="M115" s="97">
        <f>'NEW Summary 1990-2025 GHG'!M36-'NON-ETS &amp; ETS'!M36</f>
        <v>146.04544138813282</v>
      </c>
      <c r="N115" s="97">
        <f>'NEW Summary 1990-2025 GHG'!N36-'NON-ETS &amp; ETS'!N36</f>
        <v>149.81283750782927</v>
      </c>
      <c r="O115" s="97">
        <f>'NEW Summary 1990-2025 GHG'!O36-'NON-ETS &amp; ETS'!O36</f>
        <v>133.48896372238977</v>
      </c>
      <c r="P115" s="97">
        <f>'NEW Summary 1990-2025 GHG'!P36-'NON-ETS &amp; ETS'!P36</f>
        <v>131.83371366921926</v>
      </c>
      <c r="Q115" s="97">
        <f>'NEW Summary 1990-2025 GHG'!Q36-'NON-ETS &amp; ETS'!Q36</f>
        <v>134.26355949648877</v>
      </c>
      <c r="R115" s="97">
        <f>'NEW Summary 1990-2025 GHG'!R36-'NON-ETS &amp; ETS'!R36</f>
        <v>129.45114586871648</v>
      </c>
      <c r="S115" s="97">
        <f>'NEW Summary 1990-2025 GHG'!S36-'NON-ETS &amp; ETS'!S36</f>
        <v>131.6594100388397</v>
      </c>
      <c r="T115" s="97">
        <f>'NEW Summary 1990-2025 GHG'!T36-'NON-ETS &amp; ETS'!T36</f>
        <v>140.4207827114636</v>
      </c>
      <c r="U115" s="97">
        <f>'NEW Summary 1990-2025 GHG'!U36-'NON-ETS &amp; ETS'!U36</f>
        <v>141.99278491419452</v>
      </c>
      <c r="V115" s="97">
        <f>'NEW Summary 1990-2025 GHG'!V36-'NON-ETS &amp; ETS'!V36</f>
        <v>145.69092117405938</v>
      </c>
      <c r="W115" s="97">
        <f>'NEW Summary 1990-2025 GHG'!W36-'NON-ETS &amp; ETS'!W36</f>
        <v>143.57773312381335</v>
      </c>
      <c r="X115" s="97">
        <f>'NEW Summary 1990-2025 GHG'!X36-'NON-ETS &amp; ETS'!X36</f>
        <v>144.21728475702423</v>
      </c>
      <c r="Y115" s="97">
        <f>'NEW Summary 1990-2025 GHG'!Y36-'NON-ETS &amp; ETS'!Y36</f>
        <v>148.47423418563005</v>
      </c>
      <c r="Z115" s="97">
        <f>'NEW Summary 1990-2025 GHG'!Z36-'NON-ETS &amp; ETS'!Z36</f>
        <v>144.00236874692294</v>
      </c>
      <c r="AA115" s="97">
        <f>'NEW Summary 1990-2025 GHG'!AA36-'NON-ETS &amp; ETS'!AA36</f>
        <v>149.4850276198917</v>
      </c>
      <c r="AB115" s="97">
        <f>'NEW Summary 1990-2025 GHG'!AB36-'NON-ETS &amp; ETS'!AB36</f>
        <v>150.26509350387198</v>
      </c>
      <c r="AC115" s="97">
        <f>'NEW Summary 1990-2025 GHG'!AC36-'NON-ETS &amp; ETS'!AC36</f>
        <v>157.91319912572345</v>
      </c>
      <c r="AD115" s="97">
        <f>'NEW Summary 1990-2025 GHG'!AD36-'NON-ETS &amp; ETS'!AD36</f>
        <v>159.86810890437488</v>
      </c>
      <c r="AE115" s="97">
        <f>'NEW Summary 1990-2025 GHG'!AE36-'NON-ETS &amp; ETS'!AE36</f>
        <v>162.06495927331579</v>
      </c>
      <c r="AF115" s="97">
        <f>'NEW Summary 1990-2025 GHG'!AF36-'NON-ETS &amp; ETS'!AF36</f>
        <v>165.94273655711476</v>
      </c>
      <c r="AG115" s="97">
        <f>'NEW Summary 1990-2025 GHG'!AG36-'NON-ETS &amp; ETS'!AG36</f>
        <v>166.67085101681667</v>
      </c>
      <c r="AH115" s="97">
        <f>'NEW Summary 1990-2025 GHG'!AH36-'NON-ETS &amp; ETS'!AH36</f>
        <v>170.21168734697534</v>
      </c>
      <c r="AI115" s="97">
        <f>'NEW Summary 1990-2025 GHG'!AI36-'NON-ETS &amp; ETS'!AI36</f>
        <v>172.70738562236448</v>
      </c>
      <c r="AJ115" s="97">
        <f>'NEW Summary 1990-2025 GHG'!AJ36-'NON-ETS &amp; ETS'!AJ36</f>
        <v>176.06360264112007</v>
      </c>
      <c r="AK115" s="97">
        <f>'NEW Summary 1990-2025 GHG'!AK36-'NON-ETS &amp; ETS'!AK36</f>
        <v>178.88893105861692</v>
      </c>
      <c r="AL115" s="76"/>
      <c r="AM115" s="98">
        <f t="shared" si="14"/>
        <v>1.6047203255609096E-2</v>
      </c>
      <c r="AO115" s="98">
        <f t="shared" si="15"/>
        <v>0.33237143220007648</v>
      </c>
    </row>
    <row r="116" spans="1:41" x14ac:dyDescent="0.25"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99"/>
      <c r="AN116"/>
      <c r="AO116" s="99"/>
    </row>
    <row r="117" spans="1:41" x14ac:dyDescent="0.25">
      <c r="A117" s="90" t="s">
        <v>62</v>
      </c>
      <c r="B117" s="91">
        <f>'NEW Summary 1990-2025 GHG'!B47-'NON-ETS &amp; ETS'!B47</f>
        <v>55731.704570745962</v>
      </c>
      <c r="C117" s="91">
        <f>'NEW Summary 1990-2025 GHG'!C47-'NON-ETS &amp; ETS'!C47</f>
        <v>56505.616900375462</v>
      </c>
      <c r="D117" s="91">
        <f>'NEW Summary 1990-2025 GHG'!D47-'NON-ETS &amp; ETS'!D47</f>
        <v>56501.508385931324</v>
      </c>
      <c r="E117" s="91">
        <f>'NEW Summary 1990-2025 GHG'!E47-'NON-ETS &amp; ETS'!E47</f>
        <v>56958.893747125934</v>
      </c>
      <c r="F117" s="91">
        <f>'NEW Summary 1990-2025 GHG'!F47-'NON-ETS &amp; ETS'!F47</f>
        <v>58279.855088532131</v>
      </c>
      <c r="G117" s="91">
        <f>'NEW Summary 1990-2025 GHG'!G47-'NON-ETS &amp; ETS'!G47</f>
        <v>59679.662616362228</v>
      </c>
      <c r="H117" s="91">
        <f>'NEW Summary 1990-2025 GHG'!H47-'NON-ETS &amp; ETS'!H47</f>
        <v>61747.723738872599</v>
      </c>
      <c r="I117" s="91">
        <f>'NEW Summary 1990-2025 GHG'!I47-'NON-ETS &amp; ETS'!I47</f>
        <v>63071.792449565408</v>
      </c>
      <c r="J117" s="91">
        <f>'NEW Summary 1990-2025 GHG'!J47-'NON-ETS &amp; ETS'!J47</f>
        <v>65545.357269062821</v>
      </c>
      <c r="K117" s="91">
        <f>'NEW Summary 1990-2025 GHG'!K47-'NON-ETS &amp; ETS'!K47</f>
        <v>66732.845699014681</v>
      </c>
      <c r="L117" s="91">
        <f>'NEW Summary 1990-2025 GHG'!L47-'NON-ETS &amp; ETS'!L47</f>
        <v>68854.471895681258</v>
      </c>
      <c r="M117" s="91">
        <f>'NEW Summary 1990-2025 GHG'!M47-'NON-ETS &amp; ETS'!M47</f>
        <v>70847.331065547813</v>
      </c>
      <c r="N117" s="91">
        <f>'NEW Summary 1990-2025 GHG'!N47-'NON-ETS &amp; ETS'!N47</f>
        <v>68932.869453975654</v>
      </c>
      <c r="O117" s="91">
        <f>'NEW Summary 1990-2025 GHG'!O47-'NON-ETS &amp; ETS'!O47</f>
        <v>69358.487863165472</v>
      </c>
      <c r="P117" s="91">
        <f>'NEW Summary 1990-2025 GHG'!P47-'NON-ETS &amp; ETS'!P47</f>
        <v>68669.856516399552</v>
      </c>
      <c r="Q117" s="91">
        <f>'NEW Summary 1990-2025 GHG'!Q47-'NON-ETS &amp; ETS'!Q47</f>
        <v>47665.448892180226</v>
      </c>
      <c r="R117" s="91">
        <f>'NEW Summary 1990-2025 GHG'!R47-'NON-ETS &amp; ETS'!R47</f>
        <v>47486.329193961028</v>
      </c>
      <c r="S117" s="91">
        <f>'NEW Summary 1990-2025 GHG'!S47-'NON-ETS &amp; ETS'!S47</f>
        <v>47312.844928737795</v>
      </c>
      <c r="T117" s="91">
        <f>'NEW Summary 1990-2025 GHG'!T47-'NON-ETS &amp; ETS'!T47</f>
        <v>47423.977693124238</v>
      </c>
      <c r="U117" s="91">
        <f>'NEW Summary 1990-2025 GHG'!U47-'NON-ETS &amp; ETS'!U47</f>
        <v>44846.435837706231</v>
      </c>
      <c r="V117" s="91">
        <f>'NEW Summary 1990-2025 GHG'!V47-'NON-ETS &amp; ETS'!V47</f>
        <v>44333.187340702942</v>
      </c>
      <c r="W117" s="91">
        <f>'NEW Summary 1990-2025 GHG'!W47-'NON-ETS &amp; ETS'!W47</f>
        <v>41969.314826375521</v>
      </c>
      <c r="X117" s="91">
        <f>'NEW Summary 1990-2025 GHG'!X47-'NON-ETS &amp; ETS'!X47</f>
        <v>41401.783265985345</v>
      </c>
      <c r="Y117" s="91">
        <f>'NEW Summary 1990-2025 GHG'!Y47-'NON-ETS &amp; ETS'!Y47</f>
        <v>42199.293310924164</v>
      </c>
      <c r="Z117" s="91">
        <f>'NEW Summary 1990-2025 GHG'!Z47-'NON-ETS &amp; ETS'!Z47</f>
        <v>42033.400225006204</v>
      </c>
      <c r="AA117" s="91">
        <f>'NEW Summary 1990-2025 GHG'!AA47-'NON-ETS &amp; ETS'!AA47</f>
        <v>43467.667005426745</v>
      </c>
      <c r="AB117" s="91">
        <f>'NEW Summary 1990-2025 GHG'!AB47-'NON-ETS &amp; ETS'!AB47</f>
        <v>44873.371643151579</v>
      </c>
      <c r="AC117" s="91">
        <f>'NEW Summary 1990-2025 GHG'!AC47-'NON-ETS &amp; ETS'!AC47</f>
        <v>44969.858966854663</v>
      </c>
      <c r="AD117" s="91">
        <f>'NEW Summary 1990-2025 GHG'!AD47-'NON-ETS &amp; ETS'!AD47</f>
        <v>46004.837531009165</v>
      </c>
      <c r="AE117" s="91">
        <f>'NEW Summary 1990-2025 GHG'!AE47-'NON-ETS &amp; ETS'!AE47</f>
        <v>45559.501771513838</v>
      </c>
      <c r="AF117" s="91">
        <f>'NEW Summary 1990-2025 GHG'!AF47-'NON-ETS &amp; ETS'!AF47</f>
        <v>44305.687324050028</v>
      </c>
      <c r="AG117" s="91">
        <f>'NEW Summary 1990-2025 GHG'!AG47-'NON-ETS &amp; ETS'!AG47</f>
        <v>44843.144617282705</v>
      </c>
      <c r="AH117" s="91">
        <f>'NEW Summary 1990-2025 GHG'!AH47-'NON-ETS &amp; ETS'!AH47</f>
        <v>44243.170302906787</v>
      </c>
      <c r="AI117" s="91">
        <f>'NEW Summary 1990-2025 GHG'!AI47-'NON-ETS &amp; ETS'!AI47</f>
        <v>42707.984558628123</v>
      </c>
      <c r="AJ117" s="91">
        <f>'NEW Summary 1990-2025 GHG'!AJ47-'NON-ETS &amp; ETS'!AJ47</f>
        <v>42546.839716209855</v>
      </c>
      <c r="AK117" s="91">
        <f>'NEW Summary 1990-2025 GHG'!AK47-'NON-ETS &amp; ETS'!AK47</f>
        <v>41954.602785620918</v>
      </c>
      <c r="AL117" s="92"/>
      <c r="AM117" s="100">
        <f>(AK117-AJ117)/AJ117</f>
        <v>-1.3919645607974533E-2</v>
      </c>
      <c r="AN117"/>
      <c r="AO117" s="100">
        <f>(AK117-Q117)/Q117</f>
        <v>-0.11981102117547041</v>
      </c>
    </row>
    <row r="118" spans="1:41" x14ac:dyDescent="0.25"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N118"/>
    </row>
    <row r="119" spans="1:41" x14ac:dyDescent="0.25">
      <c r="AN119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C23C7-C3CE-4D3E-82A0-EE1E30476760}">
  <sheetPr>
    <tabColor theme="1" tint="4.9989318521683403E-2"/>
  </sheetPr>
  <dimension ref="A1:AS73"/>
  <sheetViews>
    <sheetView zoomScale="75" zoomScaleNormal="75" workbookViewId="0">
      <pane ySplit="1" topLeftCell="A2" activePane="bottomLeft" state="frozen"/>
      <selection activeCell="AJ21" sqref="AJ21"/>
      <selection pane="bottomLeft"/>
    </sheetView>
  </sheetViews>
  <sheetFormatPr defaultColWidth="9.140625" defaultRowHeight="15" outlineLevelRow="1" x14ac:dyDescent="0.25"/>
  <cols>
    <col min="1" max="1" width="47.140625" style="6" customWidth="1"/>
    <col min="2" max="3" width="9.85546875" style="6" bestFit="1" customWidth="1"/>
    <col min="4" max="4" width="11" style="6" customWidth="1"/>
    <col min="5" max="6" width="10.5703125" style="6" customWidth="1"/>
    <col min="7" max="12" width="9.85546875" style="6" bestFit="1" customWidth="1"/>
    <col min="13" max="13" width="11.140625" style="6" customWidth="1"/>
    <col min="14" max="14" width="10.85546875" style="6" bestFit="1" customWidth="1"/>
    <col min="15" max="15" width="9.85546875" style="6" customWidth="1"/>
    <col min="16" max="16" width="15.140625" style="6" customWidth="1"/>
    <col min="17" max="17" width="9.85546875" style="6" customWidth="1"/>
    <col min="18" max="18" width="10.5703125" style="6" bestFit="1" customWidth="1"/>
    <col min="19" max="19" width="8.85546875" style="6" bestFit="1" customWidth="1"/>
    <col min="20" max="20" width="5.7109375" style="127" customWidth="1"/>
    <col min="21" max="21" width="9.28515625" style="6" customWidth="1"/>
    <col min="22" max="22" width="5.7109375" style="6" customWidth="1"/>
    <col min="23" max="23" width="14.28515625" style="6" bestFit="1" customWidth="1"/>
    <col min="24" max="24" width="7.85546875" style="6" customWidth="1"/>
    <col min="25" max="25" width="9.42578125" style="6" customWidth="1"/>
    <col min="26" max="26" width="7.5703125" style="6" customWidth="1"/>
    <col min="27" max="27" width="14.140625" style="6" customWidth="1"/>
    <col min="28" max="28" width="9.140625" style="6"/>
    <col min="29" max="29" width="32.28515625" style="6" customWidth="1"/>
    <col min="30" max="30" width="4.28515625" style="6" customWidth="1"/>
    <col min="31" max="31" width="9.140625" style="6" customWidth="1"/>
    <col min="32" max="32" width="7.42578125" style="6" customWidth="1"/>
    <col min="33" max="34" width="7.140625" style="6" customWidth="1"/>
    <col min="35" max="36" width="7.5703125" style="6" bestFit="1" customWidth="1"/>
    <col min="37" max="37" width="8.85546875" style="6" customWidth="1"/>
    <col min="38" max="38" width="8.7109375" style="6" bestFit="1" customWidth="1"/>
    <col min="39" max="39" width="13.7109375" style="6" bestFit="1" customWidth="1"/>
    <col min="40" max="40" width="9.42578125" style="6" bestFit="1" customWidth="1"/>
    <col min="41" max="43" width="9.140625" style="6"/>
    <col min="44" max="44" width="11" style="6" bestFit="1" customWidth="1"/>
    <col min="45" max="16384" width="9.140625" style="6"/>
  </cols>
  <sheetData>
    <row r="1" spans="1:45" s="108" customFormat="1" ht="46.5" x14ac:dyDescent="0.35">
      <c r="A1" s="101"/>
      <c r="B1" s="102">
        <v>2018</v>
      </c>
      <c r="C1" s="103">
        <v>2019</v>
      </c>
      <c r="D1" s="102">
        <v>2020</v>
      </c>
      <c r="E1" s="103">
        <v>2021</v>
      </c>
      <c r="F1" s="103">
        <v>2022</v>
      </c>
      <c r="G1" s="103">
        <v>2023</v>
      </c>
      <c r="H1" s="103">
        <v>2024</v>
      </c>
      <c r="I1" s="102">
        <v>2025</v>
      </c>
      <c r="J1" s="104">
        <v>2026</v>
      </c>
      <c r="K1" s="104">
        <v>2027</v>
      </c>
      <c r="L1" s="104">
        <v>2028</v>
      </c>
      <c r="M1" s="104">
        <v>2029</v>
      </c>
      <c r="N1" s="105">
        <v>2030</v>
      </c>
      <c r="O1" s="106"/>
      <c r="P1" s="107" t="s">
        <v>63</v>
      </c>
      <c r="Q1" s="106"/>
      <c r="R1" s="107" t="s">
        <v>64</v>
      </c>
      <c r="S1" s="107" t="s">
        <v>64</v>
      </c>
      <c r="U1" s="107" t="s">
        <v>65</v>
      </c>
      <c r="W1" s="107" t="s">
        <v>66</v>
      </c>
      <c r="X1" s="109"/>
      <c r="Y1" s="110" t="s">
        <v>67</v>
      </c>
      <c r="Z1" s="109"/>
      <c r="AA1" s="107" t="s">
        <v>68</v>
      </c>
      <c r="AC1" s="40" t="s">
        <v>69</v>
      </c>
      <c r="AD1" s="40"/>
      <c r="AE1" s="4" t="s">
        <v>70</v>
      </c>
      <c r="AF1" s="111">
        <v>2021</v>
      </c>
      <c r="AG1" s="111">
        <v>2022</v>
      </c>
      <c r="AH1" s="111">
        <v>2023</v>
      </c>
      <c r="AI1" s="111">
        <v>2024</v>
      </c>
      <c r="AJ1" s="111">
        <v>2025</v>
      </c>
      <c r="AK1" s="40"/>
      <c r="AL1" s="40"/>
      <c r="AM1" s="112" t="s">
        <v>71</v>
      </c>
      <c r="AN1" s="112" t="s">
        <v>72</v>
      </c>
      <c r="AO1" s="6"/>
      <c r="AQ1" s="113" t="s">
        <v>4</v>
      </c>
      <c r="AR1" s="114" t="s">
        <v>73</v>
      </c>
    </row>
    <row r="2" spans="1:45" x14ac:dyDescent="0.25">
      <c r="A2" s="115"/>
      <c r="B2" s="116"/>
      <c r="C2" s="117"/>
      <c r="D2" s="116"/>
      <c r="E2" s="224" t="s">
        <v>74</v>
      </c>
      <c r="F2" s="225"/>
      <c r="G2" s="225"/>
      <c r="H2" s="225"/>
      <c r="I2" s="225"/>
      <c r="J2" s="226" t="s">
        <v>75</v>
      </c>
      <c r="K2" s="226"/>
      <c r="L2" s="226"/>
      <c r="M2" s="226"/>
      <c r="N2" s="226"/>
      <c r="O2" s="118"/>
      <c r="P2" s="119"/>
      <c r="Q2" s="118"/>
      <c r="R2" s="119"/>
      <c r="S2" s="119"/>
      <c r="T2" s="6"/>
      <c r="U2" s="119"/>
      <c r="W2" s="119"/>
      <c r="X2" s="4"/>
      <c r="Y2" s="119"/>
      <c r="Z2" s="4"/>
      <c r="AA2" s="119"/>
      <c r="AC2" s="120" t="s">
        <v>76</v>
      </c>
      <c r="AD2" s="120"/>
      <c r="AE2" s="35">
        <f>B4/1000</f>
        <v>10.163741759897871</v>
      </c>
      <c r="AF2" s="34">
        <f>E4/1000</f>
        <v>9.818605367948118</v>
      </c>
      <c r="AG2" s="34">
        <f>F4/1000</f>
        <v>9.6197894991976138</v>
      </c>
      <c r="AH2" s="34">
        <f>G4/1000</f>
        <v>7.4972729511493865</v>
      </c>
      <c r="AI2" s="34">
        <f>H4/1000</f>
        <v>6.8851133274470531</v>
      </c>
      <c r="AJ2" s="34">
        <f>I4/1000</f>
        <v>6.2974267261511461</v>
      </c>
      <c r="AK2" s="35"/>
      <c r="AL2" s="121">
        <f>SUM(AF2:AJ2)</f>
        <v>40.118207871893318</v>
      </c>
      <c r="AM2" s="35">
        <f>W4</f>
        <v>40</v>
      </c>
      <c r="AN2" s="122">
        <f>S4</f>
        <v>1.0029551967973329</v>
      </c>
      <c r="AQ2" s="10">
        <f>(AJ2-AI2)/AI2</f>
        <v>-8.5356126086281375E-2</v>
      </c>
      <c r="AR2" s="10">
        <f>(AJ2-AE2)/AE2</f>
        <v>-0.38040272225349958</v>
      </c>
      <c r="AS2" s="10"/>
    </row>
    <row r="3" spans="1:45" x14ac:dyDescent="0.25">
      <c r="A3" s="123" t="s">
        <v>77</v>
      </c>
      <c r="B3" s="124"/>
      <c r="C3" s="115"/>
      <c r="D3" s="124"/>
      <c r="E3" s="115"/>
      <c r="F3" s="125"/>
      <c r="G3" s="125"/>
      <c r="H3" s="125"/>
      <c r="I3" s="126"/>
      <c r="J3" s="125"/>
      <c r="K3" s="125"/>
      <c r="L3" s="125"/>
      <c r="M3" s="125"/>
      <c r="N3" s="126"/>
      <c r="O3" s="118"/>
      <c r="P3" s="115"/>
      <c r="Q3" s="118"/>
      <c r="R3" s="117" t="s">
        <v>78</v>
      </c>
      <c r="S3" s="115"/>
      <c r="U3" s="115"/>
      <c r="W3" s="117" t="s">
        <v>78</v>
      </c>
      <c r="X3" s="40"/>
      <c r="Y3" s="115"/>
      <c r="Z3" s="40"/>
      <c r="AA3" s="117" t="s">
        <v>78</v>
      </c>
      <c r="AC3" s="120" t="s">
        <v>18</v>
      </c>
      <c r="AD3" s="120"/>
      <c r="AE3" s="35">
        <f>B8/1000</f>
        <v>12.396293255150987</v>
      </c>
      <c r="AF3" s="34">
        <f>E8/1000</f>
        <v>11.193285968766258</v>
      </c>
      <c r="AG3" s="34">
        <f>F8/1000</f>
        <v>11.882761039958945</v>
      </c>
      <c r="AH3" s="34">
        <f>G8/1000</f>
        <v>11.931293482415585</v>
      </c>
      <c r="AI3" s="34">
        <f>H8/1000</f>
        <v>11.782170253280794</v>
      </c>
      <c r="AJ3" s="34">
        <f>I8/1000</f>
        <v>11.607603864902778</v>
      </c>
      <c r="AK3" s="35"/>
      <c r="AL3" s="121">
        <f t="shared" ref="AL3:AL11" si="0">SUM(AF3:AJ3)</f>
        <v>58.397114609324362</v>
      </c>
      <c r="AM3" s="35">
        <f>W8</f>
        <v>54</v>
      </c>
      <c r="AN3" s="122">
        <f>S8</f>
        <v>1.0814280483208216</v>
      </c>
      <c r="AQ3" s="10">
        <f t="shared" ref="AQ3:AQ9" si="1">(AJ3-AI3)/AI3</f>
        <v>-1.4816148860979808E-2</v>
      </c>
      <c r="AR3" s="10">
        <f t="shared" ref="AR3:AR9" si="2">(AJ3-AE3)/AE3</f>
        <v>-6.3623001974440013E-2</v>
      </c>
    </row>
    <row r="4" spans="1:45" x14ac:dyDescent="0.25">
      <c r="A4" s="128" t="s">
        <v>76</v>
      </c>
      <c r="B4" s="129">
        <f>SUM(B5:B7)</f>
        <v>10163.74175989787</v>
      </c>
      <c r="C4" s="130">
        <f t="shared" ref="C4:I4" si="3">SUM(C5:C7)</f>
        <v>8961.2683549867834</v>
      </c>
      <c r="D4" s="129">
        <f t="shared" si="3"/>
        <v>8288.7036598987597</v>
      </c>
      <c r="E4" s="130">
        <f t="shared" si="3"/>
        <v>9818.6053679481174</v>
      </c>
      <c r="F4" s="130">
        <f t="shared" si="3"/>
        <v>9619.7894991976136</v>
      </c>
      <c r="G4" s="130">
        <f t="shared" si="3"/>
        <v>7497.2729511493862</v>
      </c>
      <c r="H4" s="130">
        <f t="shared" si="3"/>
        <v>6885.1133274470531</v>
      </c>
      <c r="I4" s="129">
        <f t="shared" si="3"/>
        <v>6297.4267261511459</v>
      </c>
      <c r="J4" s="130"/>
      <c r="K4" s="130"/>
      <c r="L4" s="130"/>
      <c r="M4" s="130"/>
      <c r="N4" s="129"/>
      <c r="O4" s="131"/>
      <c r="P4" s="132">
        <f t="shared" ref="P4:P47" si="4">(I4-B4)/B4</f>
        <v>-0.38040272225349953</v>
      </c>
      <c r="Q4" s="131"/>
      <c r="R4" s="130">
        <f t="shared" ref="R4:R47" si="5">SUM(E4:I4)/1000</f>
        <v>40.118207871893318</v>
      </c>
      <c r="S4" s="132">
        <f>R4/W4</f>
        <v>1.0029551967973329</v>
      </c>
      <c r="T4" s="6"/>
      <c r="U4" s="132">
        <f>SUM(E4:I4)/1000/W4</f>
        <v>1.0029551967973329</v>
      </c>
      <c r="W4" s="130">
        <v>40</v>
      </c>
      <c r="X4" s="131"/>
      <c r="Y4" s="132">
        <f>SUM(J4:N4)/1000/AA4</f>
        <v>0</v>
      </c>
      <c r="Z4" s="131"/>
      <c r="AA4" s="130">
        <v>20</v>
      </c>
      <c r="AC4" s="120" t="s">
        <v>79</v>
      </c>
      <c r="AD4" s="120"/>
      <c r="AE4" s="35">
        <f>B14/1000</f>
        <v>6.8235957184152882</v>
      </c>
      <c r="AF4" s="34">
        <f t="shared" ref="AF4:AJ5" si="6">E14/1000</f>
        <v>6.709321248025705</v>
      </c>
      <c r="AG4" s="34">
        <f t="shared" si="6"/>
        <v>5.6214616126785764</v>
      </c>
      <c r="AH4" s="34">
        <f t="shared" si="6"/>
        <v>5.2300164671887313</v>
      </c>
      <c r="AI4" s="34">
        <f t="shared" si="6"/>
        <v>5.4858889892812055</v>
      </c>
      <c r="AJ4" s="34">
        <f t="shared" si="6"/>
        <v>5.21179317154012</v>
      </c>
      <c r="AK4" s="35"/>
      <c r="AL4" s="121">
        <f t="shared" si="0"/>
        <v>28.258481488714342</v>
      </c>
      <c r="AM4" s="35">
        <f>W14</f>
        <v>29</v>
      </c>
      <c r="AN4" s="133">
        <f>S14</f>
        <v>0.97443039616256366</v>
      </c>
      <c r="AQ4" s="10">
        <f t="shared" si="1"/>
        <v>-4.9963792245274578E-2</v>
      </c>
      <c r="AR4" s="10">
        <f t="shared" si="2"/>
        <v>-0.23621014687685707</v>
      </c>
    </row>
    <row r="5" spans="1:45" outlineLevel="1" x14ac:dyDescent="0.25">
      <c r="A5" s="134" t="s">
        <v>10</v>
      </c>
      <c r="B5" s="135">
        <f>'NEW Summary 1990-2025 GHG'!AD3</f>
        <v>9994.6219151056739</v>
      </c>
      <c r="C5" s="14">
        <f>'NEW Summary 1990-2025 GHG'!AE3</f>
        <v>8809.3731150844942</v>
      </c>
      <c r="D5" s="135">
        <f>'NEW Summary 1990-2025 GHG'!AF3</f>
        <v>8151.8054958891962</v>
      </c>
      <c r="E5" s="14">
        <f>'NEW Summary 1990-2025 GHG'!AG3</f>
        <v>9703.8013828448002</v>
      </c>
      <c r="F5" s="14">
        <f>'NEW Summary 1990-2025 GHG'!AH3</f>
        <v>9521.0620695592534</v>
      </c>
      <c r="G5" s="14">
        <f>'NEW Summary 1990-2025 GHG'!AI3</f>
        <v>7432.3599257244814</v>
      </c>
      <c r="H5" s="14">
        <f>'NEW Summary 1990-2025 GHG'!AJ3</f>
        <v>6840.936476758724</v>
      </c>
      <c r="I5" s="135">
        <f>'NEW Summary 1990-2025 GHG'!AK3</f>
        <v>6257.6967600440739</v>
      </c>
      <c r="J5" s="14"/>
      <c r="K5" s="14"/>
      <c r="L5" s="14"/>
      <c r="M5" s="14"/>
      <c r="N5" s="135"/>
      <c r="O5" s="26"/>
      <c r="P5" s="81">
        <f t="shared" si="4"/>
        <v>-0.37389359865766258</v>
      </c>
      <c r="Q5" s="26"/>
      <c r="R5" s="14">
        <f t="shared" si="5"/>
        <v>39.755856614931332</v>
      </c>
      <c r="S5" s="81"/>
      <c r="U5" s="81"/>
      <c r="W5" s="136"/>
      <c r="X5" s="137"/>
      <c r="Y5" s="81"/>
      <c r="Z5" s="137"/>
      <c r="AA5" s="136"/>
      <c r="AC5" s="120" t="s">
        <v>80</v>
      </c>
      <c r="AD5" s="120"/>
      <c r="AE5" s="35">
        <f>B15/1000</f>
        <v>1.5318552786114319</v>
      </c>
      <c r="AF5" s="34">
        <f t="shared" si="6"/>
        <v>1.4167037097531434</v>
      </c>
      <c r="AG5" s="34">
        <f t="shared" si="6"/>
        <v>1.3805982472041485</v>
      </c>
      <c r="AH5" s="34">
        <f t="shared" si="6"/>
        <v>1.3367557040065834</v>
      </c>
      <c r="AI5" s="34">
        <f t="shared" si="6"/>
        <v>1.4422080309440921</v>
      </c>
      <c r="AJ5" s="34">
        <f t="shared" si="6"/>
        <v>1.3915138160034819</v>
      </c>
      <c r="AK5" s="35"/>
      <c r="AL5" s="121">
        <f t="shared" si="0"/>
        <v>6.96777950791145</v>
      </c>
      <c r="AM5" s="35">
        <f>W15</f>
        <v>7</v>
      </c>
      <c r="AN5" s="133">
        <f>S15</f>
        <v>0.99539707255877841</v>
      </c>
      <c r="AQ5" s="10">
        <f t="shared" si="1"/>
        <v>-3.5150417868235681E-2</v>
      </c>
      <c r="AR5" s="10">
        <f t="shared" si="2"/>
        <v>-9.1615353334920879E-2</v>
      </c>
    </row>
    <row r="6" spans="1:45" outlineLevel="1" x14ac:dyDescent="0.25">
      <c r="A6" s="134" t="s">
        <v>12</v>
      </c>
      <c r="B6" s="135">
        <f>'NEW Summary 1990-2025 GHG'!AD5</f>
        <v>118.48681971939173</v>
      </c>
      <c r="C6" s="14">
        <f>'NEW Summary 1990-2025 GHG'!AE5</f>
        <v>107.21842610219521</v>
      </c>
      <c r="D6" s="135">
        <f>'NEW Summary 1990-2025 GHG'!AF5</f>
        <v>91.83296641329737</v>
      </c>
      <c r="E6" s="14">
        <f>'NEW Summary 1990-2025 GHG'!AG5</f>
        <v>80.784641335206075</v>
      </c>
      <c r="F6" s="14">
        <f>'NEW Summary 1990-2025 GHG'!AH5</f>
        <v>66.926021639665521</v>
      </c>
      <c r="G6" s="14">
        <f>'NEW Summary 1990-2025 GHG'!AI5</f>
        <v>33.638421949713361</v>
      </c>
      <c r="H6" s="14">
        <f>'NEW Summary 1990-2025 GHG'!AJ5</f>
        <v>4.4549412655719065</v>
      </c>
      <c r="I6" s="135">
        <f>'NEW Summary 1990-2025 GHG'!AK5</f>
        <v>5.2675978259789495</v>
      </c>
      <c r="J6" s="14"/>
      <c r="K6" s="14"/>
      <c r="L6" s="14"/>
      <c r="M6" s="14"/>
      <c r="N6" s="135"/>
      <c r="O6" s="26"/>
      <c r="P6" s="81">
        <f t="shared" si="4"/>
        <v>-0.95554275286944135</v>
      </c>
      <c r="Q6" s="26"/>
      <c r="R6" s="14">
        <f t="shared" si="5"/>
        <v>0.19107162401613578</v>
      </c>
      <c r="S6" s="81"/>
      <c r="U6" s="81"/>
      <c r="W6" s="136"/>
      <c r="X6" s="137"/>
      <c r="Y6" s="81"/>
      <c r="Z6" s="137"/>
      <c r="AA6" s="136"/>
      <c r="AC6" s="120" t="s">
        <v>81</v>
      </c>
      <c r="AD6" s="120"/>
      <c r="AE6" s="35">
        <f>B18/1000</f>
        <v>7.1249971808897063</v>
      </c>
      <c r="AF6" s="34">
        <f>E18/1000</f>
        <v>7.2534504432770577</v>
      </c>
      <c r="AG6" s="34">
        <f>F18/1000</f>
        <v>6.8194613281033147</v>
      </c>
      <c r="AH6" s="34">
        <f>G18/1000</f>
        <v>6.4716831535598338</v>
      </c>
      <c r="AI6" s="34">
        <f>H18/1000</f>
        <v>6.1985370019780603</v>
      </c>
      <c r="AJ6" s="34">
        <f>I18/1000</f>
        <v>5.9951144461018115</v>
      </c>
      <c r="AK6" s="35"/>
      <c r="AL6" s="121">
        <f t="shared" si="0"/>
        <v>32.738246373020075</v>
      </c>
      <c r="AM6" s="35">
        <f>W18</f>
        <v>30</v>
      </c>
      <c r="AN6" s="122">
        <f>S18</f>
        <v>1.0912748791006692</v>
      </c>
      <c r="AQ6" s="10">
        <f t="shared" si="1"/>
        <v>-3.2817833597078336E-2</v>
      </c>
      <c r="AR6" s="10">
        <f t="shared" si="2"/>
        <v>-0.15858009569721754</v>
      </c>
    </row>
    <row r="7" spans="1:45" outlineLevel="1" x14ac:dyDescent="0.25">
      <c r="A7" s="134" t="s">
        <v>13</v>
      </c>
      <c r="B7" s="135">
        <f>'NEW Summary 1990-2025 GHG'!AD6</f>
        <v>50.633025072803633</v>
      </c>
      <c r="C7" s="14">
        <f>'NEW Summary 1990-2025 GHG'!AE6</f>
        <v>44.676813800093221</v>
      </c>
      <c r="D7" s="135">
        <f>'NEW Summary 1990-2025 GHG'!AF6</f>
        <v>45.06519759626606</v>
      </c>
      <c r="E7" s="14">
        <f>'NEW Summary 1990-2025 GHG'!AG6</f>
        <v>34.019343768111703</v>
      </c>
      <c r="F7" s="14">
        <f>'NEW Summary 1990-2025 GHG'!AH6</f>
        <v>31.801407998694344</v>
      </c>
      <c r="G7" s="14">
        <f>'NEW Summary 1990-2025 GHG'!AI6</f>
        <v>31.274603475192059</v>
      </c>
      <c r="H7" s="14">
        <f>'NEW Summary 1990-2025 GHG'!AJ6</f>
        <v>39.721909422757939</v>
      </c>
      <c r="I7" s="135">
        <f>'NEW Summary 1990-2025 GHG'!AK6</f>
        <v>34.462368281093688</v>
      </c>
      <c r="J7" s="14"/>
      <c r="K7" s="14"/>
      <c r="L7" s="14"/>
      <c r="M7" s="14"/>
      <c r="N7" s="135"/>
      <c r="O7" s="26"/>
      <c r="P7" s="81">
        <f t="shared" si="4"/>
        <v>-0.31936975459117178</v>
      </c>
      <c r="Q7" s="26"/>
      <c r="R7" s="14">
        <f t="shared" si="5"/>
        <v>0.17127963294584972</v>
      </c>
      <c r="S7" s="81"/>
      <c r="U7" s="81"/>
      <c r="W7" s="136"/>
      <c r="X7" s="137"/>
      <c r="Y7" s="81"/>
      <c r="Z7" s="137"/>
      <c r="AA7" s="136"/>
      <c r="AC7" s="120" t="s">
        <v>31</v>
      </c>
      <c r="AD7" s="120"/>
      <c r="AE7" s="35">
        <f>B24/1000</f>
        <v>21.402383015470303</v>
      </c>
      <c r="AF7" s="34">
        <f>E24/1000</f>
        <v>21.967614528787838</v>
      </c>
      <c r="AG7" s="34">
        <f>F24/1000</f>
        <v>21.779867224278668</v>
      </c>
      <c r="AH7" s="34">
        <f>G24/1000</f>
        <v>20.719546534732604</v>
      </c>
      <c r="AI7" s="34">
        <f>H24/1000</f>
        <v>20.435676852595858</v>
      </c>
      <c r="AJ7" s="34">
        <f>I24/1000</f>
        <v>20.398448033618671</v>
      </c>
      <c r="AK7" s="35"/>
      <c r="AL7" s="121">
        <f t="shared" si="0"/>
        <v>105.30115317401365</v>
      </c>
      <c r="AM7" s="35">
        <f>W24</f>
        <v>106</v>
      </c>
      <c r="AN7" s="133">
        <f>S24</f>
        <v>0.99340710541522281</v>
      </c>
      <c r="AQ7" s="10">
        <f t="shared" si="1"/>
        <v>-1.8217561006528735E-3</v>
      </c>
      <c r="AR7" s="10">
        <f t="shared" si="2"/>
        <v>-4.6907626180035973E-2</v>
      </c>
    </row>
    <row r="8" spans="1:45" x14ac:dyDescent="0.25">
      <c r="A8" s="138" t="s">
        <v>18</v>
      </c>
      <c r="B8" s="139">
        <f>SUM(B9:B13)</f>
        <v>12396.293255150986</v>
      </c>
      <c r="C8" s="140">
        <f t="shared" ref="C8:I8" si="7">SUM(C9:C13)</f>
        <v>12423.79499678319</v>
      </c>
      <c r="D8" s="139">
        <f t="shared" si="7"/>
        <v>10484.276404310425</v>
      </c>
      <c r="E8" s="140">
        <f t="shared" si="7"/>
        <v>11193.285968766259</v>
      </c>
      <c r="F8" s="140">
        <f t="shared" si="7"/>
        <v>11882.761039958945</v>
      </c>
      <c r="G8" s="140">
        <f t="shared" si="7"/>
        <v>11931.293482415585</v>
      </c>
      <c r="H8" s="140">
        <f t="shared" si="7"/>
        <v>11782.170253280794</v>
      </c>
      <c r="I8" s="139">
        <f t="shared" si="7"/>
        <v>11607.603864902778</v>
      </c>
      <c r="J8" s="140"/>
      <c r="K8" s="140"/>
      <c r="L8" s="140"/>
      <c r="M8" s="140"/>
      <c r="N8" s="139"/>
      <c r="O8" s="141"/>
      <c r="P8" s="142">
        <f t="shared" si="4"/>
        <v>-6.3623001974439958E-2</v>
      </c>
      <c r="Q8" s="143"/>
      <c r="R8" s="144">
        <f t="shared" si="5"/>
        <v>58.397114609324362</v>
      </c>
      <c r="S8" s="142">
        <f t="shared" ref="S8:S32" si="8">R8/W8</f>
        <v>1.0814280483208216</v>
      </c>
      <c r="T8" s="6"/>
      <c r="U8" s="145">
        <f>SUM(E8:I8)/1000/W8</f>
        <v>1.0814280483208216</v>
      </c>
      <c r="W8" s="146">
        <v>54</v>
      </c>
      <c r="X8" s="131"/>
      <c r="Y8" s="145">
        <f>SUM(J8:N8)/1000/AA8</f>
        <v>0</v>
      </c>
      <c r="Z8" s="131"/>
      <c r="AA8" s="146">
        <v>37</v>
      </c>
      <c r="AC8" s="120" t="s">
        <v>82</v>
      </c>
      <c r="AD8" s="120"/>
      <c r="AE8" s="35">
        <f>B32/1000</f>
        <v>2.0973620340258332</v>
      </c>
      <c r="AF8" s="34">
        <f>E32/1000</f>
        <v>1.8209589168432621</v>
      </c>
      <c r="AG8" s="34">
        <f>F32/1000</f>
        <v>1.8468484146512476</v>
      </c>
      <c r="AH8" s="34">
        <f>G32/1000</f>
        <v>1.7327399775614993</v>
      </c>
      <c r="AI8" s="34">
        <f>H32/1000</f>
        <v>1.6360009209600794</v>
      </c>
      <c r="AJ8" s="34">
        <f>I32/1000</f>
        <v>1.7477727707577542</v>
      </c>
      <c r="AK8" s="35"/>
      <c r="AL8" s="121">
        <f t="shared" si="0"/>
        <v>8.7843210007738417</v>
      </c>
      <c r="AM8" s="35">
        <f>W32</f>
        <v>9</v>
      </c>
      <c r="AN8" s="133">
        <f>S32</f>
        <v>0.97603566675264908</v>
      </c>
      <c r="AQ8" s="10">
        <f t="shared" si="1"/>
        <v>6.832016312807572E-2</v>
      </c>
      <c r="AR8" s="10">
        <f t="shared" si="2"/>
        <v>-0.16668045744923271</v>
      </c>
    </row>
    <row r="9" spans="1:45" outlineLevel="1" x14ac:dyDescent="0.25">
      <c r="A9" s="134" t="s">
        <v>19</v>
      </c>
      <c r="B9" s="135">
        <f>'NEW Summary 1990-2025 GHG'!AD12</f>
        <v>16.67618004518944</v>
      </c>
      <c r="C9" s="14">
        <f>'NEW Summary 1990-2025 GHG'!AE12</f>
        <v>17.901813626166231</v>
      </c>
      <c r="D9" s="135">
        <f>'NEW Summary 1990-2025 GHG'!AF12</f>
        <v>13.593207285429804</v>
      </c>
      <c r="E9" s="14">
        <f>'NEW Summary 1990-2025 GHG'!AG12</f>
        <v>19.689877865682078</v>
      </c>
      <c r="F9" s="14">
        <f>'NEW Summary 1990-2025 GHG'!AH12</f>
        <v>21.670990510575979</v>
      </c>
      <c r="G9" s="14">
        <f>'NEW Summary 1990-2025 GHG'!AI12</f>
        <v>23.213439843608857</v>
      </c>
      <c r="H9" s="14">
        <f>'NEW Summary 1990-2025 GHG'!AJ12</f>
        <v>26.029797504730144</v>
      </c>
      <c r="I9" s="135">
        <f>'NEW Summary 1990-2025 GHG'!AK12</f>
        <v>27.944854673901805</v>
      </c>
      <c r="J9" s="14"/>
      <c r="K9" s="14"/>
      <c r="L9" s="14"/>
      <c r="M9" s="14"/>
      <c r="N9" s="135"/>
      <c r="O9" s="26"/>
      <c r="P9" s="81">
        <f t="shared" si="4"/>
        <v>0.67573476648586717</v>
      </c>
      <c r="Q9" s="26"/>
      <c r="R9" s="14">
        <f t="shared" si="5"/>
        <v>0.11854896039849885</v>
      </c>
      <c r="S9" s="81"/>
      <c r="T9" s="6"/>
      <c r="U9" s="81"/>
      <c r="W9" s="136"/>
      <c r="X9" s="137"/>
      <c r="Y9" s="81"/>
      <c r="Z9" s="137"/>
      <c r="AA9" s="136"/>
      <c r="AC9" s="120" t="s">
        <v>83</v>
      </c>
      <c r="AD9" s="120"/>
      <c r="AE9" s="35">
        <f>B40/1000</f>
        <v>2.9984546591145844</v>
      </c>
      <c r="AF9" s="34">
        <f>E40/1000</f>
        <v>2.8719372476715632</v>
      </c>
      <c r="AG9" s="34">
        <f>F40/1000</f>
        <v>2.4689714694209037</v>
      </c>
      <c r="AH9" s="34">
        <f>G40/1000</f>
        <v>2.9649625408213449</v>
      </c>
      <c r="AI9" s="34">
        <f>H40/1000</f>
        <v>2.5141112314707628</v>
      </c>
      <c r="AJ9" s="147">
        <f>I40/1000</f>
        <v>2.5141112314707628</v>
      </c>
      <c r="AK9" s="35"/>
      <c r="AL9" s="121">
        <f t="shared" si="0"/>
        <v>13.334093720855336</v>
      </c>
      <c r="AM9" s="35"/>
      <c r="AN9" s="33"/>
      <c r="AQ9" s="10">
        <f t="shared" si="1"/>
        <v>0</v>
      </c>
      <c r="AR9" s="10">
        <f t="shared" si="2"/>
        <v>-0.16153101604239156</v>
      </c>
    </row>
    <row r="10" spans="1:45" outlineLevel="1" x14ac:dyDescent="0.25">
      <c r="A10" s="134" t="s">
        <v>20</v>
      </c>
      <c r="B10" s="135">
        <f>'NEW Summary 1990-2025 GHG'!AD13</f>
        <v>11850.43826943394</v>
      </c>
      <c r="C10" s="14">
        <f>'NEW Summary 1990-2025 GHG'!AE13</f>
        <v>11851.813794091246</v>
      </c>
      <c r="D10" s="135">
        <f>'NEW Summary 1990-2025 GHG'!AF13</f>
        <v>9876.6712006641828</v>
      </c>
      <c r="E10" s="14">
        <f>'NEW Summary 1990-2025 GHG'!AG13</f>
        <v>10543.123981752422</v>
      </c>
      <c r="F10" s="14">
        <f>'NEW Summary 1990-2025 GHG'!AH13</f>
        <v>11272.444532293734</v>
      </c>
      <c r="G10" s="14">
        <f>'NEW Summary 1990-2025 GHG'!AI13</f>
        <v>11297.970912275559</v>
      </c>
      <c r="H10" s="14">
        <f>'NEW Summary 1990-2025 GHG'!AJ13</f>
        <v>11153.693896675206</v>
      </c>
      <c r="I10" s="135">
        <f>'NEW Summary 1990-2025 GHG'!AK13</f>
        <v>10963.371874403871</v>
      </c>
      <c r="J10" s="14"/>
      <c r="K10" s="14"/>
      <c r="L10" s="14"/>
      <c r="M10" s="14"/>
      <c r="N10" s="135"/>
      <c r="O10" s="26"/>
      <c r="P10" s="81">
        <f t="shared" si="4"/>
        <v>-7.4855155131105716E-2</v>
      </c>
      <c r="Q10" s="26"/>
      <c r="R10" s="14">
        <f t="shared" si="5"/>
        <v>55.230605197400791</v>
      </c>
      <c r="S10" s="81"/>
      <c r="T10" s="6"/>
      <c r="U10" s="81"/>
      <c r="W10" s="136"/>
      <c r="X10" s="137"/>
      <c r="Y10" s="81"/>
      <c r="Z10" s="137"/>
      <c r="AA10" s="136"/>
      <c r="AE10" s="35"/>
      <c r="AF10" s="34"/>
      <c r="AG10" s="34"/>
      <c r="AH10" s="34"/>
      <c r="AI10" s="34"/>
      <c r="AJ10" s="34"/>
      <c r="AK10" s="35"/>
      <c r="AL10" s="121"/>
      <c r="AM10" s="35"/>
      <c r="AN10" s="67"/>
      <c r="AQ10" s="10"/>
      <c r="AR10" s="10"/>
    </row>
    <row r="11" spans="1:45" outlineLevel="1" x14ac:dyDescent="0.25">
      <c r="A11" s="134" t="s">
        <v>21</v>
      </c>
      <c r="B11" s="135">
        <f>'NEW Summary 1990-2025 GHG'!AD14</f>
        <v>129.00863697232074</v>
      </c>
      <c r="C11" s="14">
        <f>'NEW Summary 1990-2025 GHG'!AE14</f>
        <v>135.00040592698258</v>
      </c>
      <c r="D11" s="135">
        <f>'NEW Summary 1990-2025 GHG'!AF14</f>
        <v>107.55618406760449</v>
      </c>
      <c r="E11" s="14">
        <f>'NEW Summary 1990-2025 GHG'!AG14</f>
        <v>116.31823034311482</v>
      </c>
      <c r="F11" s="14">
        <f>'NEW Summary 1990-2025 GHG'!AH14</f>
        <v>130.04888829006131</v>
      </c>
      <c r="G11" s="14">
        <f>'NEW Summary 1990-2025 GHG'!AI14</f>
        <v>136.90048390775132</v>
      </c>
      <c r="H11" s="14">
        <f>'NEW Summary 1990-2025 GHG'!AJ14</f>
        <v>146.42121453209683</v>
      </c>
      <c r="I11" s="135">
        <f>'NEW Summary 1990-2025 GHG'!AK14</f>
        <v>155.29207658408313</v>
      </c>
      <c r="J11" s="14"/>
      <c r="K11" s="14"/>
      <c r="L11" s="14"/>
      <c r="M11" s="14"/>
      <c r="N11" s="135"/>
      <c r="O11" s="26"/>
      <c r="P11" s="81">
        <f t="shared" si="4"/>
        <v>0.20373395323447679</v>
      </c>
      <c r="Q11" s="26"/>
      <c r="R11" s="14">
        <f t="shared" si="5"/>
        <v>0.68498089365710735</v>
      </c>
      <c r="S11" s="81"/>
      <c r="T11" s="6"/>
      <c r="U11" s="81"/>
      <c r="W11" s="136"/>
      <c r="X11" s="137"/>
      <c r="Y11" s="81"/>
      <c r="Z11" s="137"/>
      <c r="AA11" s="136"/>
      <c r="AC11" s="38" t="s">
        <v>84</v>
      </c>
      <c r="AD11" s="38"/>
      <c r="AE11" s="121">
        <f>B51/1000</f>
        <v>64.53868290157601</v>
      </c>
      <c r="AF11" s="148">
        <f>SUM(AF2:AF9)</f>
        <v>63.051877431072938</v>
      </c>
      <c r="AG11" s="148">
        <f>SUM(AG2:AG9)</f>
        <v>61.419758835493411</v>
      </c>
      <c r="AH11" s="148">
        <f>SUM(AH2:AH9)</f>
        <v>57.884270811435563</v>
      </c>
      <c r="AI11" s="148">
        <f>SUM(AI2:AI9)</f>
        <v>56.379706607957907</v>
      </c>
      <c r="AJ11" s="148">
        <f>SUM(AJ2:AJ9)</f>
        <v>55.163784060546526</v>
      </c>
      <c r="AK11" s="121"/>
      <c r="AL11" s="121">
        <f t="shared" si="0"/>
        <v>293.89939774650634</v>
      </c>
      <c r="AM11" s="121">
        <f>W51</f>
        <v>295</v>
      </c>
      <c r="AN11" s="133">
        <f>S51</f>
        <v>0.99626914490341156</v>
      </c>
      <c r="AQ11" s="149">
        <f>(AJ11-AI11)/AI11</f>
        <v>-2.1566670360071642E-2</v>
      </c>
      <c r="AR11" s="149">
        <f>(AJ11-AE11)/AE11</f>
        <v>-0.14526015126968997</v>
      </c>
    </row>
    <row r="12" spans="1:45" outlineLevel="1" x14ac:dyDescent="0.25">
      <c r="A12" s="134" t="s">
        <v>22</v>
      </c>
      <c r="B12" s="135">
        <f>'NEW Summary 1990-2025 GHG'!AD15</f>
        <v>260.07553164087784</v>
      </c>
      <c r="C12" s="14">
        <f>'NEW Summary 1990-2025 GHG'!AE15</f>
        <v>276.99135330807951</v>
      </c>
      <c r="D12" s="135">
        <f>'NEW Summary 1990-2025 GHG'!AF15</f>
        <v>338.74154628565952</v>
      </c>
      <c r="E12" s="14">
        <f>'NEW Summary 1990-2025 GHG'!AG15</f>
        <v>362.23252940980211</v>
      </c>
      <c r="F12" s="14">
        <f>'NEW Summary 1990-2025 GHG'!AH15</f>
        <v>305.61616181977513</v>
      </c>
      <c r="G12" s="14">
        <f>'NEW Summary 1990-2025 GHG'!AI15</f>
        <v>323.93840906088064</v>
      </c>
      <c r="H12" s="14">
        <f>'NEW Summary 1990-2025 GHG'!AJ15</f>
        <v>300.44222405261735</v>
      </c>
      <c r="I12" s="135">
        <f>'NEW Summary 1990-2025 GHG'!AK15</f>
        <v>300.62397041519972</v>
      </c>
      <c r="J12" s="14"/>
      <c r="K12" s="14"/>
      <c r="L12" s="14"/>
      <c r="M12" s="14"/>
      <c r="N12" s="135"/>
      <c r="O12" s="26"/>
      <c r="P12" s="81">
        <f t="shared" si="4"/>
        <v>0.15591024083846805</v>
      </c>
      <c r="Q12" s="26"/>
      <c r="R12" s="14">
        <f t="shared" si="5"/>
        <v>1.592853294758275</v>
      </c>
      <c r="S12" s="81"/>
      <c r="T12" s="6"/>
      <c r="U12" s="81"/>
      <c r="W12" s="136"/>
      <c r="X12" s="137"/>
      <c r="Y12" s="81"/>
      <c r="Z12" s="137"/>
      <c r="AA12" s="136"/>
      <c r="AE12" s="35"/>
      <c r="AF12" s="35"/>
      <c r="AG12" s="35"/>
      <c r="AH12" s="35"/>
      <c r="AI12" s="35"/>
      <c r="AJ12" s="35"/>
      <c r="AK12" s="35"/>
      <c r="AL12" s="35"/>
      <c r="AM12" s="35"/>
      <c r="AN12" s="35"/>
    </row>
    <row r="13" spans="1:45" outlineLevel="1" x14ac:dyDescent="0.25">
      <c r="A13" s="134" t="s">
        <v>23</v>
      </c>
      <c r="B13" s="135">
        <f>'NEW Summary 1990-2025 GHG'!AD16</f>
        <v>140.09463705865718</v>
      </c>
      <c r="C13" s="14">
        <f>'NEW Summary 1990-2025 GHG'!AE16</f>
        <v>142.08762983071591</v>
      </c>
      <c r="D13" s="135">
        <f>'NEW Summary 1990-2025 GHG'!AF16</f>
        <v>147.71426600754916</v>
      </c>
      <c r="E13" s="14">
        <f>'NEW Summary 1990-2025 GHG'!AG16</f>
        <v>151.92134939523669</v>
      </c>
      <c r="F13" s="14">
        <f>'NEW Summary 1990-2025 GHG'!AH16</f>
        <v>152.98046704479904</v>
      </c>
      <c r="G13" s="14">
        <f>'NEW Summary 1990-2025 GHG'!AI16</f>
        <v>149.2702373277869</v>
      </c>
      <c r="H13" s="14">
        <f>'NEW Summary 1990-2025 GHG'!AJ16</f>
        <v>155.5831205161453</v>
      </c>
      <c r="I13" s="135">
        <f>'NEW Summary 1990-2025 GHG'!AK16</f>
        <v>160.37108882572358</v>
      </c>
      <c r="J13" s="14"/>
      <c r="K13" s="14"/>
      <c r="L13" s="14"/>
      <c r="M13" s="14"/>
      <c r="N13" s="135"/>
      <c r="O13" s="26"/>
      <c r="P13" s="81">
        <f t="shared" si="4"/>
        <v>0.14473396121920573</v>
      </c>
      <c r="Q13" s="26"/>
      <c r="R13" s="14">
        <f t="shared" si="5"/>
        <v>0.77012626310969157</v>
      </c>
      <c r="S13" s="81"/>
      <c r="T13" s="6"/>
      <c r="U13" s="81"/>
      <c r="W13" s="136"/>
      <c r="X13" s="137"/>
      <c r="Y13" s="81"/>
      <c r="Z13" s="137"/>
      <c r="AA13" s="136"/>
    </row>
    <row r="14" spans="1:45" x14ac:dyDescent="0.25">
      <c r="A14" s="150" t="s">
        <v>79</v>
      </c>
      <c r="B14" s="151">
        <f>'NEW Summary 1990-2025 GHG'!AD7</f>
        <v>6823.5957184152885</v>
      </c>
      <c r="C14" s="152">
        <f>'NEW Summary 1990-2025 GHG'!AE7</f>
        <v>6546.4494481728379</v>
      </c>
      <c r="D14" s="151">
        <f>'NEW Summary 1990-2025 GHG'!AF7</f>
        <v>7192.2701968693018</v>
      </c>
      <c r="E14" s="152">
        <f>'NEW Summary 1990-2025 GHG'!AG7</f>
        <v>6709.3212480257052</v>
      </c>
      <c r="F14" s="152">
        <f>'NEW Summary 1990-2025 GHG'!AH7</f>
        <v>5621.4616126785768</v>
      </c>
      <c r="G14" s="152">
        <f>#REF!</f>
        <v>5230.0164671887314</v>
      </c>
      <c r="H14" s="152">
        <f>#REF!</f>
        <v>5485.8889892812058</v>
      </c>
      <c r="I14" s="151">
        <f>#REF!</f>
        <v>5211.7931715401201</v>
      </c>
      <c r="J14" s="152"/>
      <c r="K14" s="152"/>
      <c r="L14" s="152"/>
      <c r="M14" s="152"/>
      <c r="N14" s="151"/>
      <c r="O14" s="153"/>
      <c r="P14" s="154">
        <f t="shared" si="4"/>
        <v>-0.2362101468768571</v>
      </c>
      <c r="Q14" s="153"/>
      <c r="R14" s="152">
        <f t="shared" si="5"/>
        <v>28.258481488714345</v>
      </c>
      <c r="S14" s="154">
        <f t="shared" si="8"/>
        <v>0.97443039616256366</v>
      </c>
      <c r="T14" s="6"/>
      <c r="U14" s="155">
        <f>SUM(E14:I14)/1000/W14</f>
        <v>0.97443039616256366</v>
      </c>
      <c r="W14" s="156">
        <v>29</v>
      </c>
      <c r="X14" s="131"/>
      <c r="Y14" s="155">
        <f>SUM(J14:N14)/1000/AA14</f>
        <v>0</v>
      </c>
      <c r="Z14" s="131"/>
      <c r="AA14" s="156">
        <v>23</v>
      </c>
    </row>
    <row r="15" spans="1:45" x14ac:dyDescent="0.25">
      <c r="A15" s="157" t="s">
        <v>80</v>
      </c>
      <c r="B15" s="158">
        <f>SUM(B16:B17)</f>
        <v>1531.8552786114319</v>
      </c>
      <c r="C15" s="159">
        <f t="shared" ref="C15:I15" si="9">SUM(C16:C17)</f>
        <v>1509.9947326101715</v>
      </c>
      <c r="D15" s="158">
        <f t="shared" si="9"/>
        <v>1326.6300402920394</v>
      </c>
      <c r="E15" s="159">
        <f t="shared" si="9"/>
        <v>1416.7037097531434</v>
      </c>
      <c r="F15" s="159">
        <f t="shared" si="9"/>
        <v>1380.5982472041485</v>
      </c>
      <c r="G15" s="159">
        <f t="shared" si="9"/>
        <v>1336.7557040065833</v>
      </c>
      <c r="H15" s="159">
        <f t="shared" si="9"/>
        <v>1442.2080309440921</v>
      </c>
      <c r="I15" s="158">
        <f t="shared" si="9"/>
        <v>1391.5138160034819</v>
      </c>
      <c r="J15" s="159"/>
      <c r="K15" s="159"/>
      <c r="L15" s="159"/>
      <c r="M15" s="159"/>
      <c r="N15" s="158"/>
      <c r="O15" s="153"/>
      <c r="P15" s="160">
        <f t="shared" si="4"/>
        <v>-9.1615353334920879E-2</v>
      </c>
      <c r="Q15" s="153"/>
      <c r="R15" s="159">
        <f t="shared" si="5"/>
        <v>6.9677795079114491</v>
      </c>
      <c r="S15" s="160">
        <f>R15/W15</f>
        <v>0.99539707255877841</v>
      </c>
      <c r="T15" s="6"/>
      <c r="U15" s="161">
        <f>SUM(E15:I15)/1000/W15</f>
        <v>0.99539707255877841</v>
      </c>
      <c r="W15" s="162">
        <v>7</v>
      </c>
      <c r="X15" s="131"/>
      <c r="Y15" s="161">
        <f>SUM(J15:N15)/1000/AA15</f>
        <v>0</v>
      </c>
      <c r="Z15" s="131"/>
      <c r="AA15" s="162">
        <v>5</v>
      </c>
      <c r="AK15" s="38"/>
      <c r="AL15" s="121"/>
    </row>
    <row r="16" spans="1:45" outlineLevel="1" x14ac:dyDescent="0.25">
      <c r="A16" s="134" t="s">
        <v>16</v>
      </c>
      <c r="B16" s="135">
        <f>'NEW Summary 1990-2025 GHG'!AD9</f>
        <v>853.46547347410728</v>
      </c>
      <c r="C16" s="14">
        <f>'NEW Summary 1990-2025 GHG'!AE9</f>
        <v>805.38696359395919</v>
      </c>
      <c r="D16" s="135">
        <f>'NEW Summary 1990-2025 GHG'!AF9</f>
        <v>663.10327524697652</v>
      </c>
      <c r="E16" s="14">
        <f>'NEW Summary 1990-2025 GHG'!AG9</f>
        <v>718.74908464701662</v>
      </c>
      <c r="F16" s="14">
        <f>'NEW Summary 1990-2025 GHG'!AH9</f>
        <v>690.72072731145727</v>
      </c>
      <c r="G16" s="14">
        <f>'NEW Summary 1990-2025 GHG'!AI9</f>
        <v>687.87744863098408</v>
      </c>
      <c r="H16" s="14">
        <f>'NEW Summary 1990-2025 GHG'!AJ9</f>
        <v>742.0728381079474</v>
      </c>
      <c r="I16" s="135">
        <f>'NEW Summary 1990-2025 GHG'!AK9</f>
        <v>712.11390858710001</v>
      </c>
      <c r="J16" s="14"/>
      <c r="K16" s="14"/>
      <c r="L16" s="14"/>
      <c r="M16" s="14"/>
      <c r="N16" s="135"/>
      <c r="O16" s="26"/>
      <c r="P16" s="81">
        <f t="shared" si="4"/>
        <v>-0.16562071844760529</v>
      </c>
      <c r="Q16" s="26"/>
      <c r="R16" s="14">
        <f t="shared" si="5"/>
        <v>3.5515340072845056</v>
      </c>
      <c r="S16" s="81"/>
      <c r="U16" s="81"/>
      <c r="W16" s="136"/>
      <c r="X16" s="137"/>
      <c r="Y16" s="81"/>
      <c r="Z16" s="137"/>
      <c r="AA16" s="136"/>
    </row>
    <row r="17" spans="1:28" outlineLevel="1" x14ac:dyDescent="0.25">
      <c r="A17" s="134" t="s">
        <v>17</v>
      </c>
      <c r="B17" s="135">
        <f>'NEW Summary 1990-2025 GHG'!AD10</f>
        <v>678.38980513732463</v>
      </c>
      <c r="C17" s="14">
        <f>'NEW Summary 1990-2025 GHG'!AE10</f>
        <v>704.60776901621239</v>
      </c>
      <c r="D17" s="135">
        <f>'NEW Summary 1990-2025 GHG'!AF10</f>
        <v>663.52676504506292</v>
      </c>
      <c r="E17" s="14">
        <f>'NEW Summary 1990-2025 GHG'!AG10</f>
        <v>697.95462510612663</v>
      </c>
      <c r="F17" s="14">
        <f>'NEW Summary 1990-2025 GHG'!AH10</f>
        <v>689.87751989269123</v>
      </c>
      <c r="G17" s="14">
        <f>'NEW Summary 1990-2025 GHG'!AI10</f>
        <v>648.87825537559922</v>
      </c>
      <c r="H17" s="14">
        <f>'NEW Summary 1990-2025 GHG'!AJ10</f>
        <v>700.13519283614482</v>
      </c>
      <c r="I17" s="135">
        <f>'NEW Summary 1990-2025 GHG'!AK10</f>
        <v>679.39990741638189</v>
      </c>
      <c r="J17" s="14"/>
      <c r="K17" s="14"/>
      <c r="L17" s="14"/>
      <c r="M17" s="14"/>
      <c r="N17" s="135"/>
      <c r="O17" s="26"/>
      <c r="P17" s="81">
        <f t="shared" si="4"/>
        <v>1.4889703108860724E-3</v>
      </c>
      <c r="Q17" s="26"/>
      <c r="R17" s="14">
        <f t="shared" si="5"/>
        <v>3.4162455006269439</v>
      </c>
      <c r="S17" s="81"/>
      <c r="U17" s="81"/>
      <c r="W17" s="136"/>
      <c r="X17" s="137"/>
      <c r="Y17" s="81"/>
      <c r="Z17" s="137"/>
      <c r="AA17" s="136"/>
    </row>
    <row r="18" spans="1:28" x14ac:dyDescent="0.25">
      <c r="A18" s="163" t="s">
        <v>81</v>
      </c>
      <c r="B18" s="164">
        <f>SUM(B19:B20)</f>
        <v>7124.9971808897062</v>
      </c>
      <c r="C18" s="165">
        <f t="shared" ref="C18:I18" si="10">SUM(C19:C20)</f>
        <v>7022.706732778177</v>
      </c>
      <c r="D18" s="164">
        <f t="shared" si="10"/>
        <v>6896.8133386785103</v>
      </c>
      <c r="E18" s="165">
        <f t="shared" si="10"/>
        <v>7253.4504432770573</v>
      </c>
      <c r="F18" s="165">
        <f t="shared" si="10"/>
        <v>6819.4613281033144</v>
      </c>
      <c r="G18" s="165">
        <f t="shared" si="10"/>
        <v>6471.683153559834</v>
      </c>
      <c r="H18" s="165">
        <f t="shared" si="10"/>
        <v>6198.5370019780603</v>
      </c>
      <c r="I18" s="164">
        <f t="shared" si="10"/>
        <v>5995.1144461018112</v>
      </c>
      <c r="J18" s="165"/>
      <c r="K18" s="165"/>
      <c r="L18" s="165"/>
      <c r="M18" s="165"/>
      <c r="N18" s="164"/>
      <c r="O18" s="153"/>
      <c r="P18" s="166">
        <f t="shared" si="4"/>
        <v>-0.15858009569721757</v>
      </c>
      <c r="Q18" s="153"/>
      <c r="R18" s="165">
        <f t="shared" si="5"/>
        <v>32.738246373020075</v>
      </c>
      <c r="S18" s="166">
        <f t="shared" si="8"/>
        <v>1.0912748791006692</v>
      </c>
      <c r="T18" s="6"/>
      <c r="U18" s="167">
        <f>SUM(E18:I18)/1000/W18</f>
        <v>1.0912748791006692</v>
      </c>
      <c r="W18" s="168">
        <v>30</v>
      </c>
      <c r="X18" s="131"/>
      <c r="Y18" s="167">
        <f>SUM(J18:N18)/1000/AA18</f>
        <v>0</v>
      </c>
      <c r="Z18" s="131"/>
      <c r="AA18" s="168">
        <v>24</v>
      </c>
    </row>
    <row r="19" spans="1:28" outlineLevel="1" x14ac:dyDescent="0.25">
      <c r="A19" s="134" t="s">
        <v>15</v>
      </c>
      <c r="B19" s="135">
        <f>'NEW Summary 1990-2025 GHG'!AD8</f>
        <v>4837.1599631103463</v>
      </c>
      <c r="C19" s="14">
        <f>'NEW Summary 1990-2025 GHG'!AE8</f>
        <v>4763.1462956701844</v>
      </c>
      <c r="D19" s="135">
        <f>'NEW Summary 1990-2025 GHG'!AF8</f>
        <v>4794.1880787963883</v>
      </c>
      <c r="E19" s="14">
        <f>'NEW Summary 1990-2025 GHG'!AG8</f>
        <v>4786.3072277340525</v>
      </c>
      <c r="F19" s="14">
        <f>'NEW Summary 1990-2025 GHG'!AH8</f>
        <v>4530.9243518203275</v>
      </c>
      <c r="G19" s="14">
        <f>'NEW Summary 1990-2025 GHG'!AI8</f>
        <v>4324.6568372401462</v>
      </c>
      <c r="H19" s="14">
        <f>'NEW Summary 1990-2025 GHG'!AJ8</f>
        <v>4331.753387239256</v>
      </c>
      <c r="I19" s="135">
        <f>'NEW Summary 1990-2025 GHG'!AK8</f>
        <v>4161.5709865235713</v>
      </c>
      <c r="J19" s="14"/>
      <c r="K19" s="14"/>
      <c r="L19" s="14"/>
      <c r="M19" s="14"/>
      <c r="N19" s="135"/>
      <c r="O19" s="26"/>
      <c r="P19" s="81">
        <f t="shared" si="4"/>
        <v>-0.13966645340220751</v>
      </c>
      <c r="Q19" s="26"/>
      <c r="R19" s="14">
        <f t="shared" si="5"/>
        <v>22.13521279055735</v>
      </c>
      <c r="S19" s="81"/>
      <c r="U19" s="81"/>
      <c r="W19" s="136"/>
      <c r="X19" s="137"/>
      <c r="Y19" s="81"/>
      <c r="Z19" s="137"/>
      <c r="AA19" s="136"/>
    </row>
    <row r="20" spans="1:28" outlineLevel="1" x14ac:dyDescent="0.25">
      <c r="A20" s="169" t="s">
        <v>24</v>
      </c>
      <c r="B20" s="170">
        <f>SUM(B21:B23)</f>
        <v>2287.8372177793594</v>
      </c>
      <c r="C20" s="171">
        <f t="shared" ref="C20:I20" si="11">SUM(C21:C23)</f>
        <v>2259.5604371079921</v>
      </c>
      <c r="D20" s="170">
        <f t="shared" si="11"/>
        <v>2102.6252598821225</v>
      </c>
      <c r="E20" s="171">
        <f t="shared" si="11"/>
        <v>2467.1432155430043</v>
      </c>
      <c r="F20" s="171">
        <f t="shared" si="11"/>
        <v>2288.5369762829869</v>
      </c>
      <c r="G20" s="171">
        <f t="shared" si="11"/>
        <v>2147.0263163196878</v>
      </c>
      <c r="H20" s="171">
        <f t="shared" si="11"/>
        <v>1866.7836147388048</v>
      </c>
      <c r="I20" s="170">
        <f t="shared" si="11"/>
        <v>1833.5434595782401</v>
      </c>
      <c r="J20" s="171"/>
      <c r="K20" s="171"/>
      <c r="L20" s="171"/>
      <c r="M20" s="171"/>
      <c r="N20" s="170"/>
      <c r="O20" s="26"/>
      <c r="P20" s="172">
        <f t="shared" si="4"/>
        <v>-0.19856909166031922</v>
      </c>
      <c r="Q20" s="26"/>
      <c r="R20" s="171">
        <f t="shared" si="5"/>
        <v>10.603033582462725</v>
      </c>
      <c r="S20" s="172"/>
      <c r="U20" s="172"/>
      <c r="W20" s="173"/>
      <c r="X20" s="137"/>
      <c r="Y20" s="172"/>
      <c r="Z20" s="137"/>
      <c r="AA20" s="173"/>
    </row>
    <row r="21" spans="1:28" outlineLevel="1" x14ac:dyDescent="0.25">
      <c r="A21" s="174" t="s">
        <v>25</v>
      </c>
      <c r="B21" s="135">
        <f>'NEW Summary 1990-2025 GHG'!AD18</f>
        <v>2094.5489797619248</v>
      </c>
      <c r="C21" s="14">
        <f>'NEW Summary 1990-2025 GHG'!AE18</f>
        <v>2057.8652228793621</v>
      </c>
      <c r="D21" s="135">
        <f>'NEW Summary 1990-2025 GHG'!AF18</f>
        <v>1907.4373141016843</v>
      </c>
      <c r="E21" s="14">
        <f>'NEW Summary 1990-2025 GHG'!AG18</f>
        <v>2256.9405207619102</v>
      </c>
      <c r="F21" s="14">
        <f>'NEW Summary 1990-2025 GHG'!AH18</f>
        <v>2068.3747685666494</v>
      </c>
      <c r="G21" s="14">
        <f>'NEW Summary 1990-2025 GHG'!AI18</f>
        <v>1933.8876215143528</v>
      </c>
      <c r="H21" s="14">
        <f>'NEW Summary 1990-2025 GHG'!AJ18</f>
        <v>1654.3221432294367</v>
      </c>
      <c r="I21" s="135">
        <f>'NEW Summary 1990-2025 GHG'!AK18</f>
        <v>1622.1031847023826</v>
      </c>
      <c r="J21" s="14"/>
      <c r="K21" s="14"/>
      <c r="L21" s="14"/>
      <c r="M21" s="14"/>
      <c r="N21" s="135"/>
      <c r="O21" s="26"/>
      <c r="P21" s="81">
        <f t="shared" si="4"/>
        <v>-0.2255596787778352</v>
      </c>
      <c r="Q21" s="26"/>
      <c r="R21" s="14">
        <f t="shared" si="5"/>
        <v>9.5356282387747324</v>
      </c>
      <c r="S21" s="81"/>
      <c r="U21" s="81"/>
      <c r="W21" s="175"/>
      <c r="X21" s="176"/>
      <c r="Y21" s="81"/>
      <c r="Z21" s="176"/>
      <c r="AA21" s="175"/>
    </row>
    <row r="22" spans="1:28" outlineLevel="1" x14ac:dyDescent="0.25">
      <c r="A22" s="174" t="s">
        <v>28</v>
      </c>
      <c r="B22" s="135">
        <f>'NEW Summary 1990-2025 GHG'!AD21</f>
        <v>154.45328301743493</v>
      </c>
      <c r="C22" s="14">
        <f>'NEW Summary 1990-2025 GHG'!AE21</f>
        <v>162.27513922862994</v>
      </c>
      <c r="D22" s="135">
        <f>'NEW Summary 1990-2025 GHG'!AF21</f>
        <v>155.20024078043815</v>
      </c>
      <c r="E22" s="14">
        <f>'NEW Summary 1990-2025 GHG'!AG21</f>
        <v>169.85882978109433</v>
      </c>
      <c r="F22" s="14">
        <f>'NEW Summary 1990-2025 GHG'!AH21</f>
        <v>178.9494077163375</v>
      </c>
      <c r="G22" s="14">
        <f>'NEW Summary 1990-2025 GHG'!AI21</f>
        <v>171.14997480533501</v>
      </c>
      <c r="H22" s="14">
        <f>'NEW Summary 1990-2025 GHG'!AJ21</f>
        <v>169.68808650936811</v>
      </c>
      <c r="I22" s="135">
        <f>'NEW Summary 1990-2025 GHG'!AK21</f>
        <v>168.04440487585737</v>
      </c>
      <c r="J22" s="14"/>
      <c r="K22" s="14"/>
      <c r="L22" s="14"/>
      <c r="M22" s="14"/>
      <c r="N22" s="135"/>
      <c r="O22" s="26"/>
      <c r="P22" s="81">
        <f t="shared" si="4"/>
        <v>8.7995033792115984E-2</v>
      </c>
      <c r="Q22" s="26"/>
      <c r="R22" s="14">
        <f t="shared" si="5"/>
        <v>0.85769070368799227</v>
      </c>
      <c r="S22" s="81"/>
      <c r="U22" s="81"/>
      <c r="W22" s="175"/>
      <c r="X22" s="176"/>
      <c r="Y22" s="81"/>
      <c r="Z22" s="176"/>
      <c r="AA22" s="175"/>
    </row>
    <row r="23" spans="1:28" outlineLevel="1" x14ac:dyDescent="0.25">
      <c r="A23" s="174" t="s">
        <v>29</v>
      </c>
      <c r="B23" s="135">
        <f>'NEW Summary 1990-2025 GHG'!AD22</f>
        <v>38.834955000000001</v>
      </c>
      <c r="C23" s="14">
        <f>'NEW Summary 1990-2025 GHG'!AE22</f>
        <v>39.420074999999997</v>
      </c>
      <c r="D23" s="135">
        <f>'NEW Summary 1990-2025 GHG'!AF22</f>
        <v>39.987704999999998</v>
      </c>
      <c r="E23" s="14">
        <f>'NEW Summary 1990-2025 GHG'!AG22</f>
        <v>40.343864999999994</v>
      </c>
      <c r="F23" s="14">
        <f>'NEW Summary 1990-2025 GHG'!AH22</f>
        <v>41.212799999999994</v>
      </c>
      <c r="G23" s="14">
        <f>'NEW Summary 1990-2025 GHG'!AI22</f>
        <v>41.988720000000001</v>
      </c>
      <c r="H23" s="14">
        <f>'NEW Summary 1990-2025 GHG'!AJ22</f>
        <v>42.773384999999998</v>
      </c>
      <c r="I23" s="135">
        <f>'NEW Summary 1990-2025 GHG'!AK22</f>
        <v>43.395870000000002</v>
      </c>
      <c r="J23" s="14"/>
      <c r="K23" s="14"/>
      <c r="L23" s="14"/>
      <c r="M23" s="14"/>
      <c r="N23" s="135"/>
      <c r="O23" s="26"/>
      <c r="P23" s="81">
        <f t="shared" si="4"/>
        <v>0.11744355053327604</v>
      </c>
      <c r="Q23" s="26"/>
      <c r="R23" s="14">
        <f t="shared" si="5"/>
        <v>0.20971463999999998</v>
      </c>
      <c r="S23" s="81"/>
      <c r="U23" s="81"/>
      <c r="W23" s="175"/>
      <c r="X23" s="176"/>
      <c r="Y23" s="81"/>
      <c r="Z23" s="176"/>
      <c r="AA23" s="175"/>
    </row>
    <row r="24" spans="1:28" x14ac:dyDescent="0.25">
      <c r="A24" s="177" t="s">
        <v>31</v>
      </c>
      <c r="B24" s="178">
        <f>SUM(B25:B31)</f>
        <v>21402.383015470303</v>
      </c>
      <c r="C24" s="179">
        <f t="shared" ref="C24:I24" si="12">SUM(C25:C31)</f>
        <v>21283.511936701434</v>
      </c>
      <c r="D24" s="178">
        <f t="shared" si="12"/>
        <v>21588.362732753743</v>
      </c>
      <c r="E24" s="179">
        <f t="shared" si="12"/>
        <v>21967.614528787839</v>
      </c>
      <c r="F24" s="179">
        <f t="shared" si="12"/>
        <v>21779.867224278667</v>
      </c>
      <c r="G24" s="179">
        <f t="shared" si="12"/>
        <v>20719.546534732603</v>
      </c>
      <c r="H24" s="179">
        <f t="shared" si="12"/>
        <v>20435.676852595858</v>
      </c>
      <c r="I24" s="178">
        <f t="shared" si="12"/>
        <v>20398.448033618672</v>
      </c>
      <c r="J24" s="179"/>
      <c r="K24" s="179"/>
      <c r="L24" s="179"/>
      <c r="M24" s="179"/>
      <c r="N24" s="178"/>
      <c r="O24" s="153"/>
      <c r="P24" s="180">
        <f t="shared" si="4"/>
        <v>-4.6907626180035931E-2</v>
      </c>
      <c r="Q24" s="153"/>
      <c r="R24" s="179">
        <f t="shared" si="5"/>
        <v>105.30115317401362</v>
      </c>
      <c r="S24" s="180">
        <f t="shared" si="8"/>
        <v>0.99340710541522281</v>
      </c>
      <c r="T24" s="6"/>
      <c r="U24" s="181">
        <f>SUM(E24:I24)/1000/W24</f>
        <v>0.99340710541522281</v>
      </c>
      <c r="W24" s="182">
        <v>106</v>
      </c>
      <c r="X24" s="131"/>
      <c r="Y24" s="181">
        <f>SUM(J24:N24)/1000/AA24</f>
        <v>0</v>
      </c>
      <c r="Z24" s="131"/>
      <c r="AA24" s="182">
        <v>96</v>
      </c>
    </row>
    <row r="25" spans="1:28" outlineLevel="1" x14ac:dyDescent="0.25">
      <c r="A25" s="134" t="s">
        <v>32</v>
      </c>
      <c r="B25" s="135">
        <f>'NEW Summary 1990-2025 GHG'!AD25</f>
        <v>12916.599385858823</v>
      </c>
      <c r="C25" s="14">
        <f>'NEW Summary 1990-2025 GHG'!AE25</f>
        <v>13091.203534766764</v>
      </c>
      <c r="D25" s="135">
        <f>'NEW Summary 1990-2025 GHG'!AF25</f>
        <v>13260.189768763996</v>
      </c>
      <c r="E25" s="14">
        <f>'NEW Summary 1990-2025 GHG'!AG25</f>
        <v>13328.638890777194</v>
      </c>
      <c r="F25" s="14">
        <f>'NEW Summary 1990-2025 GHG'!AH25</f>
        <v>13356.734293082372</v>
      </c>
      <c r="G25" s="14">
        <f>'NEW Summary 1990-2025 GHG'!AI25</f>
        <v>13059.766159156707</v>
      </c>
      <c r="H25" s="14">
        <f>'NEW Summary 1990-2025 GHG'!AJ25</f>
        <v>12696.142673001888</v>
      </c>
      <c r="I25" s="135">
        <f>'NEW Summary 1990-2025 GHG'!AK25</f>
        <v>12473.615496901708</v>
      </c>
      <c r="J25" s="14"/>
      <c r="K25" s="14"/>
      <c r="L25" s="14"/>
      <c r="M25" s="14"/>
      <c r="N25" s="135"/>
      <c r="O25" s="26"/>
      <c r="P25" s="81">
        <f t="shared" si="4"/>
        <v>-3.4295705527733276E-2</v>
      </c>
      <c r="Q25" s="26"/>
      <c r="R25" s="14">
        <f t="shared" si="5"/>
        <v>64.914897512919865</v>
      </c>
      <c r="S25" s="81"/>
      <c r="U25" s="81"/>
      <c r="W25" s="136"/>
      <c r="X25" s="137"/>
      <c r="Y25" s="81"/>
      <c r="Z25" s="137"/>
      <c r="AA25" s="136"/>
    </row>
    <row r="26" spans="1:28" outlineLevel="1" x14ac:dyDescent="0.25">
      <c r="A26" s="134" t="s">
        <v>33</v>
      </c>
      <c r="B26" s="135">
        <f>'NEW Summary 1990-2025 GHG'!AD26</f>
        <v>2567.3395304357969</v>
      </c>
      <c r="C26" s="14">
        <f>'NEW Summary 1990-2025 GHG'!AE26</f>
        <v>2609.3805746456514</v>
      </c>
      <c r="D26" s="135">
        <f>'NEW Summary 1990-2025 GHG'!AF26</f>
        <v>2594.0681608686887</v>
      </c>
      <c r="E26" s="14">
        <f>'NEW Summary 1990-2025 GHG'!AG26</f>
        <v>2550.6684563413651</v>
      </c>
      <c r="F26" s="14">
        <f>'NEW Summary 1990-2025 GHG'!AH26</f>
        <v>2510.6688569834532</v>
      </c>
      <c r="G26" s="14">
        <f>'NEW Summary 1990-2025 GHG'!AI26</f>
        <v>2453.0350873114726</v>
      </c>
      <c r="H26" s="14">
        <f>'NEW Summary 1990-2025 GHG'!AJ26</f>
        <v>2405.5508012175637</v>
      </c>
      <c r="I26" s="135">
        <f>'NEW Summary 1990-2025 GHG'!AK26</f>
        <v>2367.937900623916</v>
      </c>
      <c r="J26" s="14"/>
      <c r="K26" s="14"/>
      <c r="L26" s="14"/>
      <c r="M26" s="14"/>
      <c r="N26" s="135"/>
      <c r="O26" s="26"/>
      <c r="P26" s="81">
        <f t="shared" si="4"/>
        <v>-7.7668585494039877E-2</v>
      </c>
      <c r="Q26" s="26"/>
      <c r="R26" s="14">
        <f t="shared" si="5"/>
        <v>12.287861102477772</v>
      </c>
      <c r="S26" s="81"/>
      <c r="U26" s="81"/>
      <c r="W26" s="136"/>
      <c r="X26" s="137"/>
      <c r="Y26" s="81"/>
      <c r="Z26" s="137"/>
      <c r="AA26" s="136"/>
    </row>
    <row r="27" spans="1:28" outlineLevel="1" x14ac:dyDescent="0.25">
      <c r="A27" s="134" t="s">
        <v>34</v>
      </c>
      <c r="B27" s="135">
        <f>'NEW Summary 1990-2025 GHG'!AD27</f>
        <v>4692.8105740935171</v>
      </c>
      <c r="C27" s="14">
        <f>'NEW Summary 1990-2025 GHG'!AE27</f>
        <v>4460.1454473438389</v>
      </c>
      <c r="D27" s="135">
        <f>'NEW Summary 1990-2025 GHG'!AF27</f>
        <v>4514.6986608861025</v>
      </c>
      <c r="E27" s="14">
        <f>'NEW Summary 1990-2025 GHG'!AG27</f>
        <v>4683.9984214870301</v>
      </c>
      <c r="F27" s="14">
        <f>'NEW Summary 1990-2025 GHG'!AH27</f>
        <v>4238.3438725430251</v>
      </c>
      <c r="G27" s="14">
        <f>'NEW Summary 1990-2025 GHG'!AI27</f>
        <v>3823.2520941569628</v>
      </c>
      <c r="H27" s="14">
        <f>'NEW Summary 1990-2025 GHG'!AJ27</f>
        <v>3902.5306955184215</v>
      </c>
      <c r="I27" s="135">
        <f>'NEW Summary 1990-2025 GHG'!AK27</f>
        <v>4130.2043494835052</v>
      </c>
      <c r="J27" s="14"/>
      <c r="K27" s="14"/>
      <c r="L27" s="14"/>
      <c r="M27" s="14"/>
      <c r="N27" s="135"/>
      <c r="O27" s="26"/>
      <c r="P27" s="81">
        <f t="shared" si="4"/>
        <v>-0.11988683875625797</v>
      </c>
      <c r="Q27" s="26"/>
      <c r="R27" s="14">
        <f t="shared" si="5"/>
        <v>20.778329433188944</v>
      </c>
      <c r="S27" s="81"/>
      <c r="U27" s="81"/>
      <c r="W27" s="136"/>
      <c r="X27" s="137"/>
      <c r="Y27" s="81"/>
      <c r="Z27" s="137"/>
      <c r="AA27" s="136"/>
    </row>
    <row r="28" spans="1:28" outlineLevel="1" x14ac:dyDescent="0.25">
      <c r="A28" s="134" t="s">
        <v>35</v>
      </c>
      <c r="B28" s="135">
        <f>'NEW Summary 1990-2025 GHG'!AD28</f>
        <v>461.05708000000004</v>
      </c>
      <c r="C28" s="14">
        <f>'NEW Summary 1990-2025 GHG'!AE28</f>
        <v>343.90247759999994</v>
      </c>
      <c r="D28" s="135">
        <f>'NEW Summary 1990-2025 GHG'!AF28</f>
        <v>399.48303999999996</v>
      </c>
      <c r="E28" s="14">
        <f>'NEW Summary 1990-2025 GHG'!AG28</f>
        <v>597.40603999999996</v>
      </c>
      <c r="F28" s="14">
        <f>'NEW Summary 1990-2025 GHG'!AH28</f>
        <v>623.97631999999999</v>
      </c>
      <c r="G28" s="14">
        <f>'NEW Summary 1990-2025 GHG'!AI28</f>
        <v>457.79579999999999</v>
      </c>
      <c r="H28" s="14">
        <f>'NEW Summary 1990-2025 GHG'!AJ28</f>
        <v>453.53203719999999</v>
      </c>
      <c r="I28" s="135">
        <f>'NEW Summary 1990-2025 GHG'!AK28</f>
        <v>409.08510719999998</v>
      </c>
      <c r="J28" s="14"/>
      <c r="K28" s="14"/>
      <c r="L28" s="14"/>
      <c r="M28" s="14"/>
      <c r="N28" s="135"/>
      <c r="O28" s="26"/>
      <c r="P28" s="81">
        <f t="shared" si="4"/>
        <v>-0.11272351093708409</v>
      </c>
      <c r="Q28" s="26"/>
      <c r="R28" s="14">
        <f t="shared" si="5"/>
        <v>2.5417953043999999</v>
      </c>
      <c r="S28" s="81"/>
      <c r="U28" s="81"/>
      <c r="W28" s="136"/>
      <c r="X28" s="137"/>
      <c r="Y28" s="81"/>
      <c r="Z28" s="137"/>
      <c r="AA28" s="136"/>
      <c r="AB28" s="10"/>
    </row>
    <row r="29" spans="1:28" outlineLevel="1" x14ac:dyDescent="0.25">
      <c r="A29" s="134" t="s">
        <v>36</v>
      </c>
      <c r="B29" s="135">
        <f>'NEW Summary 1990-2025 GHG'!AD29</f>
        <v>90.42880000000001</v>
      </c>
      <c r="C29" s="14">
        <f>'NEW Summary 1990-2025 GHG'!AE29</f>
        <v>96.082066666666663</v>
      </c>
      <c r="D29" s="135">
        <f>'NEW Summary 1990-2025 GHG'!AF29</f>
        <v>110.17820000000002</v>
      </c>
      <c r="E29" s="14">
        <f>'NEW Summary 1990-2025 GHG'!AG29</f>
        <v>106.40373333333334</v>
      </c>
      <c r="F29" s="14">
        <f>'NEW Summary 1990-2025 GHG'!AH29</f>
        <v>143.90640000000002</v>
      </c>
      <c r="G29" s="14">
        <f>'NEW Summary 1990-2025 GHG'!AI29</f>
        <v>139.22972077294688</v>
      </c>
      <c r="H29" s="14">
        <f>'NEW Summary 1990-2025 GHG'!AJ29</f>
        <v>173.39875962720419</v>
      </c>
      <c r="I29" s="135">
        <f>'NEW Summary 1990-2025 GHG'!AK29</f>
        <v>143.96768115942032</v>
      </c>
      <c r="J29" s="14"/>
      <c r="K29" s="14"/>
      <c r="L29" s="14"/>
      <c r="M29" s="14"/>
      <c r="N29" s="135"/>
      <c r="O29" s="26"/>
      <c r="P29" s="81">
        <f t="shared" si="4"/>
        <v>0.59205564111677156</v>
      </c>
      <c r="Q29" s="26"/>
      <c r="R29" s="14">
        <f t="shared" si="5"/>
        <v>0.70690629489290469</v>
      </c>
      <c r="S29" s="81"/>
      <c r="U29" s="81"/>
      <c r="W29" s="136"/>
      <c r="X29" s="137"/>
      <c r="Y29" s="81"/>
      <c r="Z29" s="137"/>
      <c r="AA29" s="136"/>
    </row>
    <row r="30" spans="1:28" outlineLevel="1" x14ac:dyDescent="0.25">
      <c r="A30" s="134" t="s">
        <v>37</v>
      </c>
      <c r="B30" s="135">
        <f>'NEW Summary 1990-2025 GHG'!AD30</f>
        <v>589.69157573857956</v>
      </c>
      <c r="C30" s="14">
        <f>'NEW Summary 1990-2025 GHG'!AE30</f>
        <v>609.87730095474478</v>
      </c>
      <c r="D30" s="135">
        <f>'NEW Summary 1990-2025 GHG'!AF30</f>
        <v>650.30503802564874</v>
      </c>
      <c r="E30" s="14">
        <f>'NEW Summary 1990-2025 GHG'!AG30</f>
        <v>642.34371972280621</v>
      </c>
      <c r="F30" s="14">
        <f>'NEW Summary 1990-2025 GHG'!AH30</f>
        <v>852.65982131787541</v>
      </c>
      <c r="G30" s="14">
        <f>'NEW Summary 1990-2025 GHG'!AI30</f>
        <v>723.27981651305049</v>
      </c>
      <c r="H30" s="14">
        <f>'NEW Summary 1990-2025 GHG'!AJ30</f>
        <v>739.39464045647514</v>
      </c>
      <c r="I30" s="135">
        <f>'NEW Summary 1990-2025 GHG'!AK30</f>
        <v>808.51025267581758</v>
      </c>
      <c r="J30" s="14"/>
      <c r="K30" s="14"/>
      <c r="L30" s="14"/>
      <c r="M30" s="14"/>
      <c r="N30" s="135"/>
      <c r="O30" s="26"/>
      <c r="P30" s="81">
        <f t="shared" si="4"/>
        <v>0.37107309302014535</v>
      </c>
      <c r="Q30" s="26"/>
      <c r="R30" s="14">
        <f t="shared" si="5"/>
        <v>3.7661882506860249</v>
      </c>
      <c r="S30" s="81"/>
      <c r="U30" s="81"/>
      <c r="W30" s="136"/>
      <c r="X30" s="137"/>
      <c r="Y30" s="81"/>
      <c r="Z30" s="137"/>
      <c r="AA30" s="136"/>
    </row>
    <row r="31" spans="1:28" outlineLevel="1" x14ac:dyDescent="0.25">
      <c r="A31" s="134" t="s">
        <v>38</v>
      </c>
      <c r="B31" s="135">
        <f>'NEW Summary 1990-2025 GHG'!AD31</f>
        <v>84.456069343585312</v>
      </c>
      <c r="C31" s="14">
        <f>'NEW Summary 1990-2025 GHG'!AE31</f>
        <v>72.920534723770871</v>
      </c>
      <c r="D31" s="135">
        <f>'NEW Summary 1990-2025 GHG'!AF31</f>
        <v>59.439864209311182</v>
      </c>
      <c r="E31" s="14">
        <f>'NEW Summary 1990-2025 GHG'!AG31</f>
        <v>58.155267126107894</v>
      </c>
      <c r="F31" s="14">
        <f>'NEW Summary 1990-2025 GHG'!AH31</f>
        <v>53.577660351936274</v>
      </c>
      <c r="G31" s="14">
        <f>'NEW Summary 1990-2025 GHG'!AI31</f>
        <v>63.187856821462169</v>
      </c>
      <c r="H31" s="14">
        <f>'NEW Summary 1990-2025 GHG'!AJ31</f>
        <v>65.12724557430721</v>
      </c>
      <c r="I31" s="135">
        <f>'NEW Summary 1990-2025 GHG'!AK31</f>
        <v>65.12724557430721</v>
      </c>
      <c r="J31" s="14"/>
      <c r="K31" s="14"/>
      <c r="L31" s="14"/>
      <c r="M31" s="14"/>
      <c r="N31" s="135"/>
      <c r="O31" s="26"/>
      <c r="P31" s="81">
        <f t="shared" si="4"/>
        <v>-0.22886245973210431</v>
      </c>
      <c r="Q31" s="26"/>
      <c r="R31" s="14">
        <f t="shared" si="5"/>
        <v>0.30517527544812073</v>
      </c>
      <c r="S31" s="81"/>
      <c r="U31" s="81"/>
      <c r="W31" s="136"/>
      <c r="X31" s="137"/>
      <c r="Y31" s="81"/>
      <c r="Z31" s="137"/>
      <c r="AA31" s="136"/>
    </row>
    <row r="32" spans="1:28" x14ac:dyDescent="0.25">
      <c r="A32" s="183" t="s">
        <v>82</v>
      </c>
      <c r="B32" s="184">
        <f>SUM(B33:B35)</f>
        <v>2097.3620340258331</v>
      </c>
      <c r="C32" s="185">
        <f t="shared" ref="C32:I32" si="13">SUM(C33:C35)</f>
        <v>1991.6021149634498</v>
      </c>
      <c r="D32" s="184">
        <f t="shared" si="13"/>
        <v>1838.1977955725145</v>
      </c>
      <c r="E32" s="185">
        <f t="shared" si="13"/>
        <v>1820.9589168432622</v>
      </c>
      <c r="F32" s="185">
        <f t="shared" si="13"/>
        <v>1846.8484146512476</v>
      </c>
      <c r="G32" s="185">
        <f t="shared" si="13"/>
        <v>1732.7399775614992</v>
      </c>
      <c r="H32" s="185">
        <f t="shared" si="13"/>
        <v>1636.0009209600794</v>
      </c>
      <c r="I32" s="184">
        <f t="shared" si="13"/>
        <v>1747.7727707577542</v>
      </c>
      <c r="J32" s="185"/>
      <c r="K32" s="185"/>
      <c r="L32" s="185"/>
      <c r="M32" s="185"/>
      <c r="N32" s="184"/>
      <c r="O32" s="153"/>
      <c r="P32" s="186">
        <f t="shared" si="4"/>
        <v>-0.16668045744923263</v>
      </c>
      <c r="Q32" s="153"/>
      <c r="R32" s="185">
        <f t="shared" si="5"/>
        <v>8.7843210007738417</v>
      </c>
      <c r="S32" s="186">
        <f t="shared" si="8"/>
        <v>0.97603566675264908</v>
      </c>
      <c r="T32" s="6"/>
      <c r="U32" s="187">
        <f>SUM(E32:I32)/1000/W32</f>
        <v>0.97603566675264908</v>
      </c>
      <c r="W32" s="188">
        <v>9</v>
      </c>
      <c r="X32" s="131"/>
      <c r="Y32" s="187">
        <f>SUM(J32:N32)/1000/AA32</f>
        <v>0</v>
      </c>
      <c r="Z32" s="131"/>
      <c r="AA32" s="188">
        <v>8</v>
      </c>
    </row>
    <row r="33" spans="1:27" outlineLevel="1" x14ac:dyDescent="0.25">
      <c r="A33" s="134" t="s">
        <v>11</v>
      </c>
      <c r="B33" s="135">
        <f>'NEW Summary 1990-2025 GHG'!AD4</f>
        <v>322.18169335898665</v>
      </c>
      <c r="C33" s="14">
        <f>'NEW Summary 1990-2025 GHG'!AE4</f>
        <v>274.53367827844085</v>
      </c>
      <c r="D33" s="135">
        <f>'NEW Summary 1990-2025 GHG'!AF4</f>
        <v>301.03597305055752</v>
      </c>
      <c r="E33" s="14">
        <f>'NEW Summary 1990-2025 GHG'!AG4</f>
        <v>294.36593093369117</v>
      </c>
      <c r="F33" s="14">
        <f>'NEW Summary 1990-2025 GHG'!AH4</f>
        <v>308.27802302770522</v>
      </c>
      <c r="G33" s="14">
        <f>'NEW Summary 1990-2025 GHG'!AI4</f>
        <v>287.15441411110845</v>
      </c>
      <c r="H33" s="14">
        <f>'NEW Summary 1990-2025 GHG'!AJ4</f>
        <v>209.96631845534765</v>
      </c>
      <c r="I33" s="135">
        <f>'NEW Summary 1990-2025 GHG'!AK4</f>
        <v>292.12919469331598</v>
      </c>
      <c r="J33" s="14"/>
      <c r="K33" s="14"/>
      <c r="L33" s="14"/>
      <c r="M33" s="14"/>
      <c r="N33" s="135"/>
      <c r="O33" s="26"/>
      <c r="P33" s="81">
        <f t="shared" si="4"/>
        <v>-9.3278107617943001E-2</v>
      </c>
      <c r="Q33" s="26"/>
      <c r="R33" s="14">
        <f t="shared" si="5"/>
        <v>1.3918938812211685</v>
      </c>
      <c r="S33" s="81"/>
      <c r="U33" s="81"/>
      <c r="W33" s="136"/>
      <c r="X33" s="137"/>
      <c r="Y33" s="81"/>
      <c r="Z33" s="137"/>
      <c r="AA33" s="136"/>
    </row>
    <row r="34" spans="1:27" outlineLevel="1" x14ac:dyDescent="0.25">
      <c r="A34" s="134" t="s">
        <v>30</v>
      </c>
      <c r="B34" s="135">
        <f>'NEW Summary 1990-2025 GHG'!AD23</f>
        <v>831.80380701398747</v>
      </c>
      <c r="C34" s="14">
        <f>'NEW Summary 1990-2025 GHG'!AE23</f>
        <v>808.6767930675195</v>
      </c>
      <c r="D34" s="135">
        <f>'NEW Summary 1990-2025 GHG'!AF23</f>
        <v>648.2464309277068</v>
      </c>
      <c r="E34" s="14">
        <f>'NEW Summary 1990-2025 GHG'!AG23</f>
        <v>692.62625692686925</v>
      </c>
      <c r="F34" s="14">
        <f>'NEW Summary 1990-2025 GHG'!AH23</f>
        <v>658.98618090990965</v>
      </c>
      <c r="G34" s="14">
        <f>'NEW Summary 1990-2025 GHG'!AI23</f>
        <v>604.65195289734368</v>
      </c>
      <c r="H34" s="14">
        <f>'NEW Summary 1990-2025 GHG'!AJ23</f>
        <v>603.38505613479037</v>
      </c>
      <c r="I34" s="135">
        <f>'NEW Summary 1990-2025 GHG'!AK23</f>
        <v>636.10671305374433</v>
      </c>
      <c r="J34" s="14"/>
      <c r="K34" s="14"/>
      <c r="L34" s="14"/>
      <c r="M34" s="14"/>
      <c r="N34" s="135"/>
      <c r="O34" s="26"/>
      <c r="P34" s="81">
        <f t="shared" si="4"/>
        <v>-0.23526833167878533</v>
      </c>
      <c r="Q34" s="26"/>
      <c r="R34" s="14">
        <f t="shared" si="5"/>
        <v>3.1957561599226576</v>
      </c>
      <c r="S34" s="81"/>
      <c r="U34" s="81"/>
      <c r="W34" s="136"/>
      <c r="X34" s="137"/>
      <c r="Y34" s="81"/>
      <c r="Z34" s="137"/>
      <c r="AA34" s="136"/>
    </row>
    <row r="35" spans="1:27" outlineLevel="1" x14ac:dyDescent="0.25">
      <c r="A35" s="189" t="s">
        <v>39</v>
      </c>
      <c r="B35" s="190">
        <f>SUM(B36:B39)</f>
        <v>943.37653365285883</v>
      </c>
      <c r="C35" s="191">
        <f t="shared" ref="C35:I35" si="14">SUM(C36:C39)</f>
        <v>908.39164361748965</v>
      </c>
      <c r="D35" s="190">
        <f t="shared" si="14"/>
        <v>888.9153915942502</v>
      </c>
      <c r="E35" s="191">
        <f t="shared" si="14"/>
        <v>833.96672898270162</v>
      </c>
      <c r="F35" s="191">
        <f t="shared" si="14"/>
        <v>879.58421071363273</v>
      </c>
      <c r="G35" s="191">
        <f t="shared" si="14"/>
        <v>840.93361055304717</v>
      </c>
      <c r="H35" s="191">
        <f t="shared" si="14"/>
        <v>822.64954636994128</v>
      </c>
      <c r="I35" s="190">
        <f t="shared" si="14"/>
        <v>819.53686301069376</v>
      </c>
      <c r="J35" s="191"/>
      <c r="K35" s="191"/>
      <c r="L35" s="191"/>
      <c r="M35" s="191"/>
      <c r="N35" s="190"/>
      <c r="O35" s="26"/>
      <c r="P35" s="192">
        <f t="shared" si="4"/>
        <v>-0.13127279111199014</v>
      </c>
      <c r="Q35" s="26"/>
      <c r="R35" s="191">
        <f t="shared" si="5"/>
        <v>4.1966709596300174</v>
      </c>
      <c r="S35" s="192"/>
      <c r="U35" s="192"/>
      <c r="W35" s="193"/>
      <c r="X35" s="137"/>
      <c r="Y35" s="192"/>
      <c r="Z35" s="137"/>
      <c r="AA35" s="193"/>
    </row>
    <row r="36" spans="1:27" outlineLevel="1" x14ac:dyDescent="0.25">
      <c r="A36" s="174" t="s">
        <v>40</v>
      </c>
      <c r="B36" s="135">
        <f>'NEW Summary 1990-2025 GHG'!AD33</f>
        <v>713.81602356686335</v>
      </c>
      <c r="C36" s="14">
        <f>'NEW Summary 1990-2025 GHG'!AE33</f>
        <v>664.48948116698216</v>
      </c>
      <c r="D36" s="135">
        <f>'NEW Summary 1990-2025 GHG'!AF33</f>
        <v>643.63993385548952</v>
      </c>
      <c r="E36" s="14">
        <f>'NEW Summary 1990-2025 GHG'!AG33</f>
        <v>589.42534621307084</v>
      </c>
      <c r="F36" s="14">
        <f>'NEW Summary 1990-2025 GHG'!AH33</f>
        <v>634.02948442666207</v>
      </c>
      <c r="G36" s="14">
        <f>'NEW Summary 1990-2025 GHG'!AI33</f>
        <v>593.87082029161502</v>
      </c>
      <c r="H36" s="14">
        <f>'NEW Summary 1990-2025 GHG'!AJ33</f>
        <v>585.61538143807229</v>
      </c>
      <c r="I36" s="135">
        <f>'NEW Summary 1990-2025 GHG'!AK33</f>
        <v>580.47174916662448</v>
      </c>
      <c r="J36" s="14"/>
      <c r="K36" s="14"/>
      <c r="L36" s="14"/>
      <c r="M36" s="14"/>
      <c r="N36" s="135"/>
      <c r="O36" s="26"/>
      <c r="P36" s="81">
        <f t="shared" si="4"/>
        <v>-0.18680482084715835</v>
      </c>
      <c r="Q36" s="26"/>
      <c r="R36" s="14">
        <f t="shared" si="5"/>
        <v>2.9834127815360443</v>
      </c>
      <c r="S36" s="81"/>
      <c r="U36" s="81"/>
      <c r="W36" s="175"/>
      <c r="X36" s="176"/>
      <c r="Y36" s="81"/>
      <c r="Z36" s="176"/>
      <c r="AA36" s="175"/>
    </row>
    <row r="37" spans="1:27" outlineLevel="1" x14ac:dyDescent="0.25">
      <c r="A37" s="174" t="s">
        <v>41</v>
      </c>
      <c r="B37" s="135">
        <f>'NEW Summary 1990-2025 GHG'!AD34</f>
        <v>45.793105543440078</v>
      </c>
      <c r="C37" s="14">
        <f>'NEW Summary 1990-2025 GHG'!AE34</f>
        <v>49.31299925731733</v>
      </c>
      <c r="D37" s="135">
        <f>'NEW Summary 1990-2025 GHG'!AF34</f>
        <v>48.144307363679999</v>
      </c>
      <c r="E37" s="14">
        <f>'NEW Summary 1990-2025 GHG'!AG34</f>
        <v>43.259350754436866</v>
      </c>
      <c r="F37" s="14">
        <f>'NEW Summary 1990-2025 GHG'!AH34</f>
        <v>38.968717775753049</v>
      </c>
      <c r="G37" s="14">
        <f>'NEW Summary 1990-2025 GHG'!AI34</f>
        <v>39.320770946599993</v>
      </c>
      <c r="H37" s="14">
        <f>'NEW Summary 1990-2025 GHG'!AJ34</f>
        <v>46.274082672611875</v>
      </c>
      <c r="I37" s="135">
        <f>'NEW Summary 1990-2025 GHG'!AK34</f>
        <v>45.4797031673153</v>
      </c>
      <c r="J37" s="14"/>
      <c r="K37" s="14"/>
      <c r="L37" s="14"/>
      <c r="M37" s="14"/>
      <c r="N37" s="135"/>
      <c r="O37" s="26"/>
      <c r="P37" s="81">
        <f t="shared" si="4"/>
        <v>-6.8438768763450421E-3</v>
      </c>
      <c r="Q37" s="26"/>
      <c r="R37" s="14">
        <f t="shared" si="5"/>
        <v>0.21330262531671709</v>
      </c>
      <c r="S37" s="81"/>
      <c r="U37" s="81"/>
      <c r="W37" s="175"/>
      <c r="X37" s="176"/>
      <c r="Y37" s="81"/>
      <c r="Z37" s="176"/>
      <c r="AA37" s="175"/>
    </row>
    <row r="38" spans="1:27" outlineLevel="1" x14ac:dyDescent="0.25">
      <c r="A38" s="174" t="s">
        <v>42</v>
      </c>
      <c r="B38" s="135">
        <f>'NEW Summary 1990-2025 GHG'!AD35</f>
        <v>23.899295638180405</v>
      </c>
      <c r="C38" s="14">
        <f>'NEW Summary 1990-2025 GHG'!AE35</f>
        <v>32.524203919874395</v>
      </c>
      <c r="D38" s="135">
        <f>'NEW Summary 1990-2025 GHG'!AF35</f>
        <v>31.188413817965916</v>
      </c>
      <c r="E38" s="14">
        <f>'NEW Summary 1990-2025 GHG'!AG35</f>
        <v>34.611180998377201</v>
      </c>
      <c r="F38" s="14">
        <f>'NEW Summary 1990-2025 GHG'!AH35</f>
        <v>36.374321164242211</v>
      </c>
      <c r="G38" s="14">
        <f>'NEW Summary 1990-2025 GHG'!AI35</f>
        <v>35.034633692467686</v>
      </c>
      <c r="H38" s="14">
        <f>'NEW Summary 1990-2025 GHG'!AJ35</f>
        <v>14.696479618137133</v>
      </c>
      <c r="I38" s="135">
        <f>'NEW Summary 1990-2025 GHG'!AK35</f>
        <v>14.696479618137133</v>
      </c>
      <c r="J38" s="14"/>
      <c r="K38" s="14"/>
      <c r="L38" s="14"/>
      <c r="M38" s="14"/>
      <c r="N38" s="135"/>
      <c r="O38" s="26"/>
      <c r="P38" s="81">
        <f t="shared" si="4"/>
        <v>-0.3850664119716265</v>
      </c>
      <c r="Q38" s="26"/>
      <c r="R38" s="14">
        <f t="shared" si="5"/>
        <v>0.13541309509136135</v>
      </c>
      <c r="S38" s="81"/>
      <c r="U38" s="81"/>
      <c r="W38" s="175"/>
      <c r="X38" s="176"/>
      <c r="Y38" s="81"/>
      <c r="Z38" s="176"/>
      <c r="AA38" s="175"/>
    </row>
    <row r="39" spans="1:27" outlineLevel="1" x14ac:dyDescent="0.25">
      <c r="A39" s="174" t="s">
        <v>43</v>
      </c>
      <c r="B39" s="135">
        <f>'NEW Summary 1990-2025 GHG'!AD36</f>
        <v>159.86810890437488</v>
      </c>
      <c r="C39" s="14">
        <f>'NEW Summary 1990-2025 GHG'!AE36</f>
        <v>162.06495927331579</v>
      </c>
      <c r="D39" s="135">
        <f>'NEW Summary 1990-2025 GHG'!AF36</f>
        <v>165.94273655711476</v>
      </c>
      <c r="E39" s="14">
        <f>'NEW Summary 1990-2025 GHG'!AG36</f>
        <v>166.67085101681667</v>
      </c>
      <c r="F39" s="14">
        <f>'NEW Summary 1990-2025 GHG'!AH36</f>
        <v>170.21168734697534</v>
      </c>
      <c r="G39" s="14">
        <f>'NEW Summary 1990-2025 GHG'!AI36</f>
        <v>172.70738562236448</v>
      </c>
      <c r="H39" s="14">
        <f>'NEW Summary 1990-2025 GHG'!AJ36</f>
        <v>176.06360264112007</v>
      </c>
      <c r="I39" s="135">
        <f>'NEW Summary 1990-2025 GHG'!AK36</f>
        <v>178.88893105861692</v>
      </c>
      <c r="J39" s="14"/>
      <c r="K39" s="14"/>
      <c r="L39" s="14"/>
      <c r="M39" s="14"/>
      <c r="N39" s="135"/>
      <c r="O39" s="26"/>
      <c r="P39" s="81">
        <f t="shared" si="4"/>
        <v>0.11897821450818154</v>
      </c>
      <c r="Q39" s="26"/>
      <c r="R39" s="14">
        <f t="shared" si="5"/>
        <v>0.86454245768589355</v>
      </c>
      <c r="S39" s="81"/>
      <c r="U39" s="81"/>
      <c r="W39" s="175"/>
      <c r="X39" s="176"/>
      <c r="Y39" s="81"/>
      <c r="Z39" s="176"/>
      <c r="AA39" s="175"/>
    </row>
    <row r="40" spans="1:27" x14ac:dyDescent="0.25">
      <c r="A40" s="194" t="s">
        <v>83</v>
      </c>
      <c r="B40" s="195">
        <f>SUM(B41:B47)</f>
        <v>2998.4546591145845</v>
      </c>
      <c r="C40" s="196">
        <f t="shared" ref="C40:I40" si="15">SUM(C41:C47)</f>
        <v>2904.7835162397682</v>
      </c>
      <c r="D40" s="195">
        <f t="shared" si="15"/>
        <v>3218.406846600913</v>
      </c>
      <c r="E40" s="196">
        <f t="shared" si="15"/>
        <v>2871.937247671563</v>
      </c>
      <c r="F40" s="196">
        <f t="shared" si="15"/>
        <v>2468.9714694209038</v>
      </c>
      <c r="G40" s="196">
        <f t="shared" si="15"/>
        <v>2964.9625408213451</v>
      </c>
      <c r="H40" s="196">
        <f t="shared" si="15"/>
        <v>2514.111231470763</v>
      </c>
      <c r="I40" s="197">
        <f t="shared" si="15"/>
        <v>2514.111231470763</v>
      </c>
      <c r="J40" s="196"/>
      <c r="K40" s="196"/>
      <c r="L40" s="196"/>
      <c r="M40" s="196"/>
      <c r="N40" s="195"/>
      <c r="O40" s="153"/>
      <c r="P40" s="198">
        <f t="shared" si="4"/>
        <v>-0.16153101604239151</v>
      </c>
      <c r="Q40" s="153"/>
      <c r="R40" s="196">
        <f t="shared" si="5"/>
        <v>13.334093720855337</v>
      </c>
      <c r="S40" s="198"/>
      <c r="T40" s="6"/>
      <c r="U40" s="198"/>
      <c r="W40" s="199"/>
      <c r="X40" s="131"/>
      <c r="Y40" s="198"/>
      <c r="Z40" s="131"/>
      <c r="AA40" s="199"/>
    </row>
    <row r="41" spans="1:27" outlineLevel="1" x14ac:dyDescent="0.25">
      <c r="A41" s="13" t="s">
        <v>45</v>
      </c>
      <c r="B41" s="135">
        <f>'NEW Summary 1990-2025 GHG'!AD38</f>
        <v>-3478.8929613057335</v>
      </c>
      <c r="C41" s="14">
        <f>'NEW Summary 1990-2025 GHG'!AE38</f>
        <v>-3324.854790299878</v>
      </c>
      <c r="D41" s="135">
        <f>'NEW Summary 1990-2025 GHG'!AF38</f>
        <v>-3195.4406086243653</v>
      </c>
      <c r="E41" s="14">
        <f>'NEW Summary 1990-2025 GHG'!AG38</f>
        <v>-2507.8337831789549</v>
      </c>
      <c r="F41" s="14">
        <f>'NEW Summary 1990-2025 GHG'!AH38</f>
        <v>-2699.7702230566888</v>
      </c>
      <c r="G41" s="14">
        <f>'NEW Summary 1990-2025 GHG'!AI38</f>
        <v>-2549.5504817211208</v>
      </c>
      <c r="H41" s="14">
        <f>'NEW Summary 1990-2025 GHG'!AJ38</f>
        <v>-2572.3151657100407</v>
      </c>
      <c r="I41" s="200">
        <f>'NEW Summary 1990-2025 GHG'!AK38</f>
        <v>-2572.3151657100407</v>
      </c>
      <c r="J41" s="14"/>
      <c r="K41" s="14"/>
      <c r="L41" s="14"/>
      <c r="M41" s="14"/>
      <c r="N41" s="135"/>
      <c r="O41" s="26"/>
      <c r="P41" s="81">
        <f t="shared" si="4"/>
        <v>-0.26059375947440094</v>
      </c>
      <c r="Q41" s="26"/>
      <c r="R41" s="14">
        <f t="shared" si="5"/>
        <v>-12.901784819376847</v>
      </c>
      <c r="S41" s="81"/>
      <c r="U41" s="81"/>
      <c r="W41" s="201"/>
      <c r="X41" s="41"/>
      <c r="Y41" s="81"/>
      <c r="Z41" s="41"/>
      <c r="AA41" s="201"/>
    </row>
    <row r="42" spans="1:27" outlineLevel="1" x14ac:dyDescent="0.25">
      <c r="A42" s="13" t="s">
        <v>46</v>
      </c>
      <c r="B42" s="135">
        <f>'NEW Summary 1990-2025 GHG'!AD39</f>
        <v>-154.80272279818155</v>
      </c>
      <c r="C42" s="14">
        <f>'NEW Summary 1990-2025 GHG'!AE39</f>
        <v>-142.37256623955349</v>
      </c>
      <c r="D42" s="135">
        <f>'NEW Summary 1990-2025 GHG'!AF39</f>
        <v>-125.2122639319619</v>
      </c>
      <c r="E42" s="14">
        <f>'NEW Summary 1990-2025 GHG'!AG39</f>
        <v>-101.28707364813468</v>
      </c>
      <c r="F42" s="14">
        <f>'NEW Summary 1990-2025 GHG'!AH39</f>
        <v>-83.396529128579516</v>
      </c>
      <c r="G42" s="14">
        <f>'NEW Summary 1990-2025 GHG'!AI39</f>
        <v>81.783952463675618</v>
      </c>
      <c r="H42" s="14">
        <f>'NEW Summary 1990-2025 GHG'!AJ39</f>
        <v>10.585224325985052</v>
      </c>
      <c r="I42" s="200">
        <f>'NEW Summary 1990-2025 GHG'!AK39</f>
        <v>10.585224325985052</v>
      </c>
      <c r="J42" s="14"/>
      <c r="K42" s="14"/>
      <c r="L42" s="14"/>
      <c r="M42" s="14"/>
      <c r="N42" s="135"/>
      <c r="O42" s="26"/>
      <c r="P42" s="81">
        <f t="shared" si="4"/>
        <v>-1.0683787993818763</v>
      </c>
      <c r="Q42" s="26"/>
      <c r="R42" s="14">
        <f t="shared" si="5"/>
        <v>-8.1729201661068479E-2</v>
      </c>
      <c r="S42" s="81"/>
      <c r="U42" s="81"/>
      <c r="W42" s="201"/>
      <c r="X42" s="41"/>
      <c r="Y42" s="81"/>
      <c r="Z42" s="41"/>
      <c r="AA42" s="201"/>
    </row>
    <row r="43" spans="1:27" outlineLevel="1" x14ac:dyDescent="0.25">
      <c r="A43" s="13" t="s">
        <v>47</v>
      </c>
      <c r="B43" s="135">
        <f>'NEW Summary 1990-2025 GHG'!AD40</f>
        <v>2499.0071711105388</v>
      </c>
      <c r="C43" s="14">
        <f>'NEW Summary 1990-2025 GHG'!AE40</f>
        <v>2572.8792077113171</v>
      </c>
      <c r="D43" s="135">
        <f>'NEW Summary 1990-2025 GHG'!AF40</f>
        <v>2576.8332138012724</v>
      </c>
      <c r="E43" s="14">
        <f>'NEW Summary 1990-2025 GHG'!AG40</f>
        <v>2406.8589166718052</v>
      </c>
      <c r="F43" s="14">
        <f>'NEW Summary 1990-2025 GHG'!AH40</f>
        <v>2424.6029993550565</v>
      </c>
      <c r="G43" s="14">
        <f>'NEW Summary 1990-2025 GHG'!AI40</f>
        <v>2432.2693888202416</v>
      </c>
      <c r="H43" s="14">
        <f>'NEW Summary 1990-2025 GHG'!AJ40</f>
        <v>2373.271098558776</v>
      </c>
      <c r="I43" s="200">
        <f>'NEW Summary 1990-2025 GHG'!AK40</f>
        <v>2373.271098558776</v>
      </c>
      <c r="J43" s="14"/>
      <c r="K43" s="14"/>
      <c r="L43" s="14"/>
      <c r="M43" s="14"/>
      <c r="N43" s="135"/>
      <c r="O43" s="26"/>
      <c r="P43" s="81">
        <f t="shared" si="4"/>
        <v>-5.0314410460809818E-2</v>
      </c>
      <c r="Q43" s="26"/>
      <c r="R43" s="14">
        <f t="shared" si="5"/>
        <v>12.010273501964654</v>
      </c>
      <c r="S43" s="81"/>
      <c r="U43" s="81"/>
      <c r="W43" s="201"/>
      <c r="X43" s="41"/>
      <c r="Y43" s="81"/>
      <c r="Z43" s="41"/>
      <c r="AA43" s="201"/>
    </row>
    <row r="44" spans="1:27" outlineLevel="1" x14ac:dyDescent="0.25">
      <c r="A44" s="13" t="s">
        <v>48</v>
      </c>
      <c r="B44" s="135">
        <f>'NEW Summary 1990-2025 GHG'!AD41</f>
        <v>4581.1549933458218</v>
      </c>
      <c r="C44" s="14">
        <f>'NEW Summary 1990-2025 GHG'!AE41</f>
        <v>4541.4694612884605</v>
      </c>
      <c r="D44" s="135">
        <f>'NEW Summary 1990-2025 GHG'!AF41</f>
        <v>4675.0340026808608</v>
      </c>
      <c r="E44" s="14">
        <f>'NEW Summary 1990-2025 GHG'!AG41</f>
        <v>3936.4353495251717</v>
      </c>
      <c r="F44" s="14">
        <f>'NEW Summary 1990-2025 GHG'!AH41</f>
        <v>3575.9753368555139</v>
      </c>
      <c r="G44" s="14">
        <f>'NEW Summary 1990-2025 GHG'!AI41</f>
        <v>3793.1609122070013</v>
      </c>
      <c r="H44" s="14">
        <f>'NEW Summary 1990-2025 GHG'!AJ41</f>
        <v>3372.9154773079931</v>
      </c>
      <c r="I44" s="200">
        <f>'NEW Summary 1990-2025 GHG'!AK41</f>
        <v>3372.9154773079931</v>
      </c>
      <c r="J44" s="14"/>
      <c r="K44" s="14"/>
      <c r="L44" s="14"/>
      <c r="M44" s="14"/>
      <c r="N44" s="135"/>
      <c r="O44" s="26"/>
      <c r="P44" s="81">
        <f t="shared" si="4"/>
        <v>-0.26374124381139907</v>
      </c>
      <c r="Q44" s="26"/>
      <c r="R44" s="14">
        <f t="shared" si="5"/>
        <v>18.051402553203673</v>
      </c>
      <c r="S44" s="81"/>
      <c r="U44" s="81"/>
      <c r="W44" s="201"/>
      <c r="X44" s="41"/>
      <c r="Y44" s="81"/>
      <c r="Z44" s="41"/>
      <c r="AA44" s="201"/>
    </row>
    <row r="45" spans="1:27" outlineLevel="1" x14ac:dyDescent="0.25">
      <c r="A45" s="13" t="s">
        <v>49</v>
      </c>
      <c r="B45" s="135">
        <f>'NEW Summary 1990-2025 GHG'!AD42</f>
        <v>361.51661937328663</v>
      </c>
      <c r="C45" s="14">
        <f>'NEW Summary 1990-2025 GHG'!AE42</f>
        <v>114.5905828970092</v>
      </c>
      <c r="D45" s="135">
        <f>'NEW Summary 1990-2025 GHG'!AF42</f>
        <v>101.60259305097492</v>
      </c>
      <c r="E45" s="14">
        <f>'NEW Summary 1990-2025 GHG'!AG42</f>
        <v>102.45510135569974</v>
      </c>
      <c r="F45" s="14">
        <f>'NEW Summary 1990-2025 GHG'!AH42</f>
        <v>183.02058690938597</v>
      </c>
      <c r="G45" s="14">
        <f>'NEW Summary 1990-2025 GHG'!AI42</f>
        <v>135.68778001168036</v>
      </c>
      <c r="H45" s="14">
        <f>'NEW Summary 1990-2025 GHG'!AJ42</f>
        <v>110.39093602215392</v>
      </c>
      <c r="I45" s="200">
        <f>'NEW Summary 1990-2025 GHG'!AK42</f>
        <v>110.39093602215392</v>
      </c>
      <c r="J45" s="14"/>
      <c r="K45" s="14"/>
      <c r="L45" s="14"/>
      <c r="M45" s="14"/>
      <c r="N45" s="135"/>
      <c r="O45" s="26"/>
      <c r="P45" s="81">
        <f t="shared" si="4"/>
        <v>-0.69464492057509264</v>
      </c>
      <c r="Q45" s="26"/>
      <c r="R45" s="14">
        <f t="shared" si="5"/>
        <v>0.64194534032107387</v>
      </c>
      <c r="S45" s="81"/>
      <c r="U45" s="81"/>
      <c r="W45" s="201"/>
      <c r="X45" s="41"/>
      <c r="Y45" s="81"/>
      <c r="Z45" s="41"/>
      <c r="AA45" s="201"/>
    </row>
    <row r="46" spans="1:27" outlineLevel="1" x14ac:dyDescent="0.25">
      <c r="A46" s="13" t="s">
        <v>50</v>
      </c>
      <c r="B46" s="135">
        <f>'NEW Summary 1990-2025 GHG'!AD43</f>
        <v>13.640466995858166</v>
      </c>
      <c r="C46" s="14">
        <f>'NEW Summary 1990-2025 GHG'!AE43</f>
        <v>13.313882637286712</v>
      </c>
      <c r="D46" s="135">
        <f>'NEW Summary 1990-2025 GHG'!AF43</f>
        <v>12.541344175786652</v>
      </c>
      <c r="E46" s="14">
        <f>'NEW Summary 1990-2025 GHG'!AG43</f>
        <v>11.768805714286593</v>
      </c>
      <c r="F46" s="14">
        <f>'NEW Summary 1990-2025 GHG'!AH43</f>
        <v>11.768805714286593</v>
      </c>
      <c r="G46" s="14">
        <f>'NEW Summary 1990-2025 GHG'!AI43</f>
        <v>7.8458704761910623</v>
      </c>
      <c r="H46" s="14">
        <f>'NEW Summary 1990-2025 GHG'!AJ43</f>
        <v>5.8844028571432974</v>
      </c>
      <c r="I46" s="200">
        <f>'NEW Summary 1990-2025 GHG'!AK43</f>
        <v>5.8844028571432974</v>
      </c>
      <c r="J46" s="14"/>
      <c r="K46" s="14"/>
      <c r="L46" s="14"/>
      <c r="M46" s="14"/>
      <c r="N46" s="135"/>
      <c r="O46" s="26"/>
      <c r="P46" s="81">
        <f t="shared" si="4"/>
        <v>-0.56860693560344699</v>
      </c>
      <c r="Q46" s="26"/>
      <c r="R46" s="14">
        <f t="shared" si="5"/>
        <v>4.3152287619050843E-2</v>
      </c>
      <c r="S46" s="81"/>
      <c r="U46" s="81"/>
      <c r="W46" s="201"/>
      <c r="X46" s="41"/>
      <c r="Y46" s="81"/>
      <c r="Z46" s="41"/>
      <c r="AA46" s="201"/>
    </row>
    <row r="47" spans="1:27" outlineLevel="1" x14ac:dyDescent="0.25">
      <c r="A47" s="13" t="s">
        <v>51</v>
      </c>
      <c r="B47" s="135">
        <f>'NEW Summary 1990-2025 GHG'!AD44</f>
        <v>-823.16890760700608</v>
      </c>
      <c r="C47" s="14">
        <f>'NEW Summary 1990-2025 GHG'!AE44</f>
        <v>-870.24226175487354</v>
      </c>
      <c r="D47" s="135">
        <f>'NEW Summary 1990-2025 GHG'!AF44</f>
        <v>-826.9514345516543</v>
      </c>
      <c r="E47" s="14">
        <f>'NEW Summary 1990-2025 GHG'!AG44</f>
        <v>-976.46006876831063</v>
      </c>
      <c r="F47" s="14">
        <f>'NEW Summary 1990-2025 GHG'!AH44</f>
        <v>-943.2295072280707</v>
      </c>
      <c r="G47" s="14">
        <f>'NEW Summary 1990-2025 GHG'!AI44</f>
        <v>-936.23488143632403</v>
      </c>
      <c r="H47" s="14">
        <f>'NEW Summary 1990-2025 GHG'!AJ44</f>
        <v>-786.62074189124758</v>
      </c>
      <c r="I47" s="200">
        <f>'NEW Summary 1990-2025 GHG'!AK44</f>
        <v>-786.62074189124758</v>
      </c>
      <c r="J47" s="14"/>
      <c r="K47" s="14"/>
      <c r="L47" s="14"/>
      <c r="M47" s="14"/>
      <c r="N47" s="135"/>
      <c r="O47" s="26"/>
      <c r="P47" s="81">
        <f t="shared" si="4"/>
        <v>-4.439935155229062E-2</v>
      </c>
      <c r="Q47" s="26"/>
      <c r="R47" s="14">
        <f t="shared" si="5"/>
        <v>-4.4291659412152002</v>
      </c>
      <c r="S47" s="81"/>
      <c r="U47" s="81"/>
      <c r="W47" s="201"/>
      <c r="X47" s="41"/>
      <c r="Y47" s="81"/>
      <c r="Z47" s="41"/>
      <c r="AA47" s="201"/>
    </row>
    <row r="48" spans="1:27" x14ac:dyDescent="0.25">
      <c r="B48" s="202"/>
      <c r="D48" s="202"/>
      <c r="I48" s="202"/>
      <c r="N48" s="202"/>
      <c r="P48" s="10"/>
      <c r="S48" s="10"/>
      <c r="U48" s="10"/>
      <c r="W48" s="41"/>
      <c r="X48" s="41"/>
      <c r="Y48" s="10"/>
      <c r="Z48" s="41"/>
      <c r="AA48" s="41"/>
    </row>
    <row r="49" spans="1:33" x14ac:dyDescent="0.25">
      <c r="B49" s="202"/>
      <c r="D49" s="202"/>
      <c r="I49" s="202"/>
      <c r="N49" s="202"/>
      <c r="P49" s="10"/>
      <c r="S49" s="10"/>
      <c r="U49" s="10"/>
      <c r="W49" s="41"/>
      <c r="X49" s="41"/>
      <c r="Y49" s="10"/>
      <c r="Z49" s="41"/>
      <c r="AA49" s="41"/>
    </row>
    <row r="50" spans="1:33" x14ac:dyDescent="0.25">
      <c r="A50" s="30" t="s">
        <v>53</v>
      </c>
      <c r="B50" s="203">
        <f>SUM(B4,B8,B14,B15,B18,B24,B32)</f>
        <v>61540.228242461424</v>
      </c>
      <c r="C50" s="204">
        <f t="shared" ref="C50:I50" si="16">SUM(C4,C8,C14,C15,C18,C24,C32)</f>
        <v>59739.328316996041</v>
      </c>
      <c r="D50" s="203">
        <f t="shared" si="16"/>
        <v>57615.254168375293</v>
      </c>
      <c r="E50" s="204">
        <f t="shared" si="16"/>
        <v>60179.940183401384</v>
      </c>
      <c r="F50" s="204">
        <f t="shared" si="16"/>
        <v>58950.787366072516</v>
      </c>
      <c r="G50" s="204">
        <f t="shared" si="16"/>
        <v>54919.308270614223</v>
      </c>
      <c r="H50" s="204">
        <f t="shared" si="16"/>
        <v>53865.595376487152</v>
      </c>
      <c r="I50" s="203">
        <f t="shared" si="16"/>
        <v>52649.67282907576</v>
      </c>
      <c r="J50" s="204"/>
      <c r="K50" s="204"/>
      <c r="L50" s="204"/>
      <c r="M50" s="204"/>
      <c r="N50" s="203"/>
      <c r="O50" s="205"/>
      <c r="P50" s="206">
        <f>(I50-B50)/B50</f>
        <v>-0.14446737796223144</v>
      </c>
      <c r="Q50" s="207"/>
      <c r="R50" s="204">
        <f>SUM(E50:I50)/1000</f>
        <v>280.56530402565102</v>
      </c>
      <c r="S50" s="206"/>
      <c r="T50" s="6"/>
      <c r="U50" s="204"/>
      <c r="W50" s="204"/>
      <c r="X50" s="205"/>
      <c r="Y50" s="204"/>
      <c r="Z50" s="205"/>
      <c r="AA50" s="204"/>
    </row>
    <row r="51" spans="1:33" x14ac:dyDescent="0.25">
      <c r="A51" s="30" t="s">
        <v>54</v>
      </c>
      <c r="B51" s="203">
        <f>SUM(B4,B8,B14,B15,B18,B24,B32,B40)</f>
        <v>64538.682901576009</v>
      </c>
      <c r="C51" s="204">
        <f t="shared" ref="C51:I51" si="17">SUM(C4,C8,C14,C15,C18,C24,C32,C40)</f>
        <v>62644.111833235809</v>
      </c>
      <c r="D51" s="203">
        <f t="shared" si="17"/>
        <v>60833.661014976205</v>
      </c>
      <c r="E51" s="204">
        <f t="shared" si="17"/>
        <v>63051.87743107295</v>
      </c>
      <c r="F51" s="204">
        <f t="shared" si="17"/>
        <v>61419.75883549342</v>
      </c>
      <c r="G51" s="204">
        <f t="shared" si="17"/>
        <v>57884.27081143557</v>
      </c>
      <c r="H51" s="204">
        <f t="shared" si="17"/>
        <v>56379.706607957916</v>
      </c>
      <c r="I51" s="203">
        <f t="shared" si="17"/>
        <v>55163.784060546524</v>
      </c>
      <c r="J51" s="204"/>
      <c r="K51" s="204"/>
      <c r="L51" s="204"/>
      <c r="M51" s="204"/>
      <c r="N51" s="203"/>
      <c r="O51" s="205"/>
      <c r="P51" s="206">
        <f>(I51-B51)/B51</f>
        <v>-0.14526015126968997</v>
      </c>
      <c r="Q51" s="205"/>
      <c r="R51" s="204">
        <f>SUM(E51:I51)/1000</f>
        <v>293.89939774650639</v>
      </c>
      <c r="S51" s="206">
        <f>R51/W51</f>
        <v>0.99626914490341156</v>
      </c>
      <c r="T51" s="6"/>
      <c r="U51" s="206">
        <f>SUM(E51:I51)/1000/W51</f>
        <v>0.99626914490341156</v>
      </c>
      <c r="W51" s="204">
        <v>295</v>
      </c>
      <c r="X51" s="205"/>
      <c r="Y51" s="206">
        <f>SUM(J51:N51)/1000/AA51</f>
        <v>0</v>
      </c>
      <c r="Z51" s="205"/>
      <c r="AA51" s="204">
        <v>200</v>
      </c>
    </row>
    <row r="53" spans="1:33" x14ac:dyDescent="0.25">
      <c r="A53" s="208"/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Q53" s="209"/>
      <c r="R53" s="209"/>
    </row>
    <row r="54" spans="1:33" x14ac:dyDescent="0.25">
      <c r="A54" s="208"/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Q54" s="209"/>
      <c r="R54" s="209"/>
    </row>
    <row r="55" spans="1:33" ht="18" x14ac:dyDescent="0.35">
      <c r="P55" s="23"/>
      <c r="Q55" s="67"/>
      <c r="AF55" s="23" t="s">
        <v>85</v>
      </c>
      <c r="AG55" s="42"/>
    </row>
    <row r="56" spans="1:33" x14ac:dyDescent="0.25">
      <c r="K56" s="35"/>
      <c r="L56" s="210"/>
      <c r="N56" s="211"/>
      <c r="P56" s="23"/>
      <c r="AC56" s="6" t="s">
        <v>86</v>
      </c>
      <c r="AF56" s="23">
        <f>R51</f>
        <v>293.89939774650639</v>
      </c>
      <c r="AG56" s="42"/>
    </row>
    <row r="57" spans="1:33" ht="30" x14ac:dyDescent="0.25">
      <c r="A57" s="212" t="s">
        <v>69</v>
      </c>
      <c r="B57" s="213" t="s">
        <v>87</v>
      </c>
      <c r="C57" s="212" t="s">
        <v>88</v>
      </c>
      <c r="D57" s="213" t="s">
        <v>89</v>
      </c>
      <c r="E57" s="212" t="s">
        <v>90</v>
      </c>
      <c r="F57" s="212" t="s">
        <v>91</v>
      </c>
      <c r="G57" s="208"/>
      <c r="H57" s="40"/>
      <c r="I57" s="40"/>
      <c r="J57" s="40"/>
      <c r="K57" s="40"/>
      <c r="L57" s="40"/>
      <c r="M57" s="208"/>
      <c r="N57" s="208"/>
      <c r="AC57" s="6" t="s">
        <v>92</v>
      </c>
      <c r="AF57" s="23">
        <f>W51-R51</f>
        <v>1.1006022534936051</v>
      </c>
    </row>
    <row r="58" spans="1:33" x14ac:dyDescent="0.25">
      <c r="A58" s="6" t="str">
        <f>AC8</f>
        <v>Other</v>
      </c>
      <c r="B58" s="214">
        <v>8.7843210007738417</v>
      </c>
      <c r="C58" s="214">
        <v>9</v>
      </c>
      <c r="D58" s="10">
        <v>0.97603566675264908</v>
      </c>
      <c r="E58" s="210">
        <v>0.2156789992261583</v>
      </c>
      <c r="F58" s="10">
        <v>-6.832016312807572E-2</v>
      </c>
      <c r="G58" s="215"/>
      <c r="H58" s="35"/>
      <c r="I58" s="35"/>
      <c r="J58" s="35"/>
      <c r="K58" s="35"/>
      <c r="L58" s="35"/>
      <c r="M58" s="215"/>
      <c r="N58" s="216"/>
      <c r="P58" s="33"/>
      <c r="AF58" s="23"/>
    </row>
    <row r="59" spans="1:33" x14ac:dyDescent="0.25">
      <c r="A59" s="6" t="str">
        <f t="shared" ref="A59:A64" si="18">AC2</f>
        <v>Electricity</v>
      </c>
      <c r="B59" s="214">
        <v>40.118207871893318</v>
      </c>
      <c r="C59" s="214">
        <v>40</v>
      </c>
      <c r="D59" s="10">
        <v>1.0029551967973329</v>
      </c>
      <c r="E59" s="210">
        <v>-0.11820787189331838</v>
      </c>
      <c r="F59" s="10">
        <v>8.5356126086281375E-2</v>
      </c>
      <c r="G59" s="215"/>
      <c r="H59" s="35"/>
      <c r="I59" s="35"/>
      <c r="J59" s="35"/>
      <c r="K59" s="35"/>
      <c r="L59" s="35"/>
      <c r="M59" s="215"/>
      <c r="N59" s="216"/>
      <c r="P59" s="33"/>
    </row>
    <row r="60" spans="1:33" x14ac:dyDescent="0.25">
      <c r="A60" s="6" t="str">
        <f t="shared" si="18"/>
        <v>Transport</v>
      </c>
      <c r="B60" s="214">
        <v>58.397114609324362</v>
      </c>
      <c r="C60" s="214">
        <v>54</v>
      </c>
      <c r="D60" s="10">
        <v>1.0814280483208216</v>
      </c>
      <c r="E60" s="210">
        <v>-4.3971146093243618</v>
      </c>
      <c r="F60" s="10">
        <v>1.4816148860979808E-2</v>
      </c>
      <c r="G60" s="215"/>
      <c r="H60" s="35"/>
      <c r="I60" s="35"/>
      <c r="J60" s="35"/>
      <c r="K60" s="35"/>
      <c r="L60" s="35"/>
      <c r="M60" s="215"/>
      <c r="N60" s="216"/>
      <c r="P60" s="33"/>
      <c r="AC60" s="23"/>
    </row>
    <row r="61" spans="1:33" x14ac:dyDescent="0.25">
      <c r="A61" s="6" t="str">
        <f t="shared" si="18"/>
        <v>Buildings (Residential)</v>
      </c>
      <c r="B61" s="214">
        <v>28.258481488714342</v>
      </c>
      <c r="C61" s="214">
        <v>29</v>
      </c>
      <c r="D61" s="10">
        <v>0.97443039616256355</v>
      </c>
      <c r="E61" s="210">
        <v>0.74151851128565838</v>
      </c>
      <c r="F61" s="10">
        <v>4.9963792245274578E-2</v>
      </c>
      <c r="G61" s="215"/>
      <c r="H61" s="35"/>
      <c r="I61" s="35"/>
      <c r="J61" s="35"/>
      <c r="K61" s="35"/>
      <c r="L61" s="35"/>
      <c r="M61" s="215"/>
      <c r="N61" s="216"/>
      <c r="P61" s="33"/>
    </row>
    <row r="62" spans="1:33" x14ac:dyDescent="0.25">
      <c r="A62" s="6" t="str">
        <f t="shared" si="18"/>
        <v>Buildings (Commercial and Public)</v>
      </c>
      <c r="B62" s="214">
        <v>6.96777950791145</v>
      </c>
      <c r="C62" s="214">
        <v>7</v>
      </c>
      <c r="D62" s="10">
        <v>0.99539707255877852</v>
      </c>
      <c r="E62" s="210">
        <v>3.2220492088550046E-2</v>
      </c>
      <c r="F62" s="10">
        <v>3.5150417868235681E-2</v>
      </c>
      <c r="G62" s="215"/>
      <c r="H62" s="35"/>
      <c r="I62" s="35"/>
      <c r="J62" s="35"/>
      <c r="K62" s="35"/>
      <c r="L62" s="35"/>
      <c r="M62" s="215"/>
      <c r="N62" s="216"/>
      <c r="P62" s="33"/>
      <c r="AC62" s="21"/>
    </row>
    <row r="63" spans="1:33" x14ac:dyDescent="0.25">
      <c r="A63" s="6" t="str">
        <f t="shared" si="18"/>
        <v>Industry</v>
      </c>
      <c r="B63" s="214">
        <v>32.738246373020075</v>
      </c>
      <c r="C63" s="214">
        <v>30</v>
      </c>
      <c r="D63" s="10">
        <v>1.0912748791006692</v>
      </c>
      <c r="E63" s="210">
        <v>-2.7382463730200755</v>
      </c>
      <c r="F63" s="10">
        <v>3.2817833597078336E-2</v>
      </c>
      <c r="G63" s="215"/>
      <c r="H63" s="35"/>
      <c r="I63" s="35"/>
      <c r="J63" s="35"/>
      <c r="K63" s="35"/>
      <c r="L63" s="35"/>
      <c r="M63" s="215"/>
      <c r="N63" s="216"/>
      <c r="P63" s="33"/>
    </row>
    <row r="64" spans="1:33" x14ac:dyDescent="0.25">
      <c r="A64" s="6" t="str">
        <f t="shared" si="18"/>
        <v>Agriculture</v>
      </c>
      <c r="B64" s="214">
        <v>105.30115317401365</v>
      </c>
      <c r="C64" s="214">
        <v>106</v>
      </c>
      <c r="D64" s="10">
        <v>0.99340710541522315</v>
      </c>
      <c r="E64" s="210">
        <v>0.69884682598635095</v>
      </c>
      <c r="F64" s="10">
        <v>1.8217561006528735E-3</v>
      </c>
      <c r="G64" s="215"/>
      <c r="H64" s="35"/>
      <c r="I64" s="35"/>
      <c r="J64" s="35"/>
      <c r="K64" s="35"/>
      <c r="L64" s="35"/>
      <c r="M64" s="215"/>
      <c r="N64" s="216"/>
      <c r="P64" s="33"/>
    </row>
    <row r="65" spans="1:16" x14ac:dyDescent="0.25">
      <c r="B65" s="35"/>
      <c r="C65" s="35"/>
      <c r="D65" s="10"/>
      <c r="E65" s="210"/>
      <c r="F65" s="10"/>
      <c r="G65" s="217"/>
      <c r="H65" s="35"/>
      <c r="I65" s="35"/>
      <c r="J65" s="35"/>
      <c r="K65" s="210"/>
      <c r="L65" s="210"/>
      <c r="M65" s="217"/>
      <c r="N65" s="218"/>
      <c r="P65" s="43"/>
    </row>
    <row r="66" spans="1:16" x14ac:dyDescent="0.25">
      <c r="B66" s="35"/>
      <c r="C66" s="35"/>
      <c r="D66" s="10"/>
      <c r="E66" s="210"/>
      <c r="F66" s="10"/>
      <c r="G66" s="219"/>
      <c r="H66" s="35"/>
      <c r="I66" s="35"/>
      <c r="J66" s="35"/>
      <c r="K66" s="210"/>
      <c r="L66" s="210"/>
      <c r="M66" s="215"/>
      <c r="N66" s="220"/>
      <c r="P66" s="33"/>
    </row>
    <row r="67" spans="1:16" x14ac:dyDescent="0.25">
      <c r="A67" s="6" t="s">
        <v>55</v>
      </c>
      <c r="B67" s="35">
        <v>293.89939774650634</v>
      </c>
      <c r="C67" s="35">
        <v>295</v>
      </c>
      <c r="D67" s="10">
        <v>0.99626914490341134</v>
      </c>
      <c r="E67" s="210">
        <v>1.1006022534936619</v>
      </c>
      <c r="F67" s="10">
        <v>2.1566670360071642E-2</v>
      </c>
      <c r="G67" s="215"/>
      <c r="H67" s="35"/>
      <c r="I67" s="35"/>
      <c r="J67" s="35"/>
      <c r="K67" s="35"/>
      <c r="L67" s="35"/>
      <c r="M67" s="215"/>
      <c r="N67" s="216"/>
      <c r="P67" s="216"/>
    </row>
    <row r="69" spans="1:16" x14ac:dyDescent="0.25">
      <c r="H69" s="221"/>
      <c r="I69" s="221"/>
      <c r="J69" s="221"/>
      <c r="K69" s="221"/>
      <c r="L69" s="221"/>
    </row>
    <row r="73" spans="1:16" x14ac:dyDescent="0.25">
      <c r="P73" s="222"/>
    </row>
  </sheetData>
  <mergeCells count="2">
    <mergeCell ref="E2:I2"/>
    <mergeCell ref="J2:N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NEW Summary 1990-2025 GHG</vt:lpstr>
      <vt:lpstr>NEW Summary 1990-2025 CO2</vt:lpstr>
      <vt:lpstr>NEW Summary 1990-2025 CH4</vt:lpstr>
      <vt:lpstr>NEW Summary 1990-2025 N2O</vt:lpstr>
      <vt:lpstr>NON-ETS &amp; ETS</vt:lpstr>
      <vt:lpstr>CAP Sectors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Nithiya Streethran</dc:creator>
  <cp:lastModifiedBy>Nithiya Streethran</cp:lastModifiedBy>
  <dcterms:created xsi:type="dcterms:W3CDTF">2026-07-07T10:32:49Z</dcterms:created>
  <dcterms:modified xsi:type="dcterms:W3CDTF">2026-07-07T11:13:13Z</dcterms:modified>
</cp:coreProperties>
</file>